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d.docs.live.net/EC331F3D3866C5C2/Desktop/MS SQUARE/5) Templates/"/>
    </mc:Choice>
  </mc:AlternateContent>
  <xr:revisionPtr revIDLastSave="1232" documentId="8_{EC390C38-4A10-4E1C-877D-838A4275DDB2}" xr6:coauthVersionLast="47" xr6:coauthVersionMax="47" xr10:uidLastSave="{B636D023-D6C8-47D3-927D-AC6A052B027E}"/>
  <bookViews>
    <workbookView xWindow="-120" yWindow="-120" windowWidth="20730" windowHeight="11040" xr2:uid="{F0EB4631-22ED-4292-9019-BF7E25148743}"/>
  </bookViews>
  <sheets>
    <sheet name="Input &amp; Output Fields" sheetId="2" r:id="rId1"/>
    <sheet name="Detailed Calculator" sheetId="1" r:id="rId2"/>
    <sheet name="Indicative XIRR Chart" sheetId="3" r:id="rId3"/>
  </sheets>
  <definedNames>
    <definedName name="_xlnm.Print_Area" localSheetId="1">'Detailed Calculator'!$A$1:$N$63</definedName>
    <definedName name="_xlnm.Print_Area" localSheetId="0">'Input &amp; Output Fields'!$A$1:$D$23</definedName>
    <definedName name="_xlnm.Print_Titles" localSheetId="1">'Detailed Calculator'!$1:$5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1" l="1"/>
  <c r="B6" i="1" l="1"/>
  <c r="J6" i="1" s="1"/>
  <c r="C11" i="2"/>
  <c r="D51" i="3"/>
  <c r="D50" i="3"/>
  <c r="D49" i="3"/>
  <c r="D48" i="3"/>
  <c r="D47" i="3"/>
  <c r="D46" i="3"/>
  <c r="D45" i="3"/>
  <c r="D44" i="3"/>
  <c r="D43" i="3"/>
  <c r="D42" i="3"/>
  <c r="D41" i="3"/>
  <c r="D40" i="3"/>
  <c r="D39" i="3"/>
  <c r="D38" i="3"/>
  <c r="C8" i="3"/>
  <c r="D8" i="3" s="1"/>
  <c r="B8" i="3"/>
  <c r="A6" i="2"/>
  <c r="A51" i="3"/>
  <c r="A4" i="3"/>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3" i="3"/>
  <c r="D2" i="3"/>
  <c r="B3" i="3"/>
  <c r="B4" i="3" s="1"/>
  <c r="C3" i="3"/>
  <c r="C4" i="3" s="1"/>
  <c r="C5" i="3" s="1"/>
  <c r="C14" i="3" l="1"/>
  <c r="D3" i="3"/>
  <c r="C6" i="3"/>
  <c r="C7" i="3" s="1"/>
  <c r="B5" i="3"/>
  <c r="E6" i="1"/>
  <c r="A7" i="1"/>
  <c r="I7" i="1" l="1"/>
  <c r="A8" i="1"/>
  <c r="C9" i="3"/>
  <c r="C10" i="3" s="1"/>
  <c r="C11" i="3" s="1"/>
  <c r="C12" i="3" s="1"/>
  <c r="C13" i="3" s="1"/>
  <c r="D4" i="3"/>
  <c r="B6" i="3"/>
  <c r="E7" i="1"/>
  <c r="E8" i="1" l="1"/>
  <c r="I8" i="1"/>
  <c r="A9" i="1"/>
  <c r="A10" i="1" s="1"/>
  <c r="C15" i="3"/>
  <c r="C26" i="3"/>
  <c r="B7" i="3"/>
  <c r="D5" i="3"/>
  <c r="A7" i="2"/>
  <c r="A8" i="2" s="1"/>
  <c r="A9" i="2" s="1"/>
  <c r="A10" i="2" s="1"/>
  <c r="A11" i="2" s="1"/>
  <c r="A18" i="2"/>
  <c r="A19" i="2" s="1"/>
  <c r="A20" i="2" s="1"/>
  <c r="A21" i="2" s="1"/>
  <c r="A22" i="2" s="1"/>
  <c r="A23" i="2" s="1"/>
  <c r="C6" i="1"/>
  <c r="C7" i="1" s="1"/>
  <c r="B56" i="1"/>
  <c r="I10" i="1" l="1"/>
  <c r="E10" i="1"/>
  <c r="I9" i="1"/>
  <c r="A11" i="1"/>
  <c r="C8" i="1"/>
  <c r="C9" i="1" s="1"/>
  <c r="C10" i="1" s="1"/>
  <c r="C16" i="3"/>
  <c r="C27" i="3"/>
  <c r="C28" i="3" s="1"/>
  <c r="C29" i="3" s="1"/>
  <c r="C30" i="3" s="1"/>
  <c r="C31" i="3" s="1"/>
  <c r="C32" i="3" s="1"/>
  <c r="C33" i="3" s="1"/>
  <c r="C34" i="3" s="1"/>
  <c r="C35" i="3" s="1"/>
  <c r="C36" i="3" s="1"/>
  <c r="C37" i="3" s="1"/>
  <c r="C38" i="3"/>
  <c r="D6" i="3"/>
  <c r="A12" i="2"/>
  <c r="A60" i="1" s="1"/>
  <c r="A61" i="1" s="1"/>
  <c r="A62" i="1" s="1"/>
  <c r="A63" i="1" s="1"/>
  <c r="C11" i="1" l="1"/>
  <c r="I11" i="1"/>
  <c r="A12" i="1"/>
  <c r="E11" i="1"/>
  <c r="C17" i="3"/>
  <c r="C50" i="3"/>
  <c r="C51" i="3" s="1"/>
  <c r="C39" i="3"/>
  <c r="C40" i="3" s="1"/>
  <c r="C41" i="3" s="1"/>
  <c r="C42" i="3" s="1"/>
  <c r="C43" i="3" s="1"/>
  <c r="C44" i="3" s="1"/>
  <c r="C45" i="3" s="1"/>
  <c r="C46" i="3" s="1"/>
  <c r="C47" i="3" s="1"/>
  <c r="C48" i="3" s="1"/>
  <c r="C49" i="3" s="1"/>
  <c r="D7" i="3"/>
  <c r="B9" i="3"/>
  <c r="D9" i="3" s="1"/>
  <c r="I12" i="1" l="1"/>
  <c r="A13" i="1"/>
  <c r="C12" i="1"/>
  <c r="C13" i="1" s="1"/>
  <c r="C18" i="3"/>
  <c r="B10" i="3"/>
  <c r="D10" i="3" s="1"/>
  <c r="I13" i="1" l="1"/>
  <c r="A14" i="1"/>
  <c r="E13" i="1"/>
  <c r="C19" i="3"/>
  <c r="B11" i="3"/>
  <c r="D11" i="3" s="1"/>
  <c r="I14" i="1" l="1"/>
  <c r="A15" i="1"/>
  <c r="E14" i="1"/>
  <c r="C14" i="1"/>
  <c r="C20" i="3"/>
  <c r="B12" i="3"/>
  <c r="D12" i="3" s="1"/>
  <c r="I15" i="1" l="1"/>
  <c r="C15" i="1"/>
  <c r="A16" i="1"/>
  <c r="C21" i="3"/>
  <c r="B13" i="3"/>
  <c r="D13" i="3" s="1"/>
  <c r="I16" i="1" l="1"/>
  <c r="A17" i="1"/>
  <c r="E16" i="1"/>
  <c r="C16" i="1"/>
  <c r="C22" i="3"/>
  <c r="I17" i="1" l="1"/>
  <c r="C17" i="1"/>
  <c r="A18" i="1"/>
  <c r="E17" i="1"/>
  <c r="C23" i="3"/>
  <c r="B14" i="3"/>
  <c r="D14" i="3" s="1"/>
  <c r="I18" i="1" l="1"/>
  <c r="A19" i="1"/>
  <c r="C18" i="1"/>
  <c r="C24" i="3"/>
  <c r="B15" i="3"/>
  <c r="D15" i="3" s="1"/>
  <c r="C19" i="1" l="1"/>
  <c r="I19" i="1"/>
  <c r="A20" i="1"/>
  <c r="E19" i="1"/>
  <c r="C25" i="3"/>
  <c r="B16" i="3"/>
  <c r="D16" i="3" s="1"/>
  <c r="I20" i="1" l="1"/>
  <c r="A21" i="1"/>
  <c r="E20" i="1"/>
  <c r="C20" i="1"/>
  <c r="B17" i="3"/>
  <c r="D17" i="3" s="1"/>
  <c r="I21" i="1" l="1"/>
  <c r="C21" i="1"/>
  <c r="A22" i="1"/>
  <c r="B18" i="3"/>
  <c r="D18" i="3" s="1"/>
  <c r="I22" i="1" l="1"/>
  <c r="A23" i="1"/>
  <c r="E22" i="1"/>
  <c r="C22" i="1"/>
  <c r="B19" i="3"/>
  <c r="D19" i="3" s="1"/>
  <c r="C23" i="1" l="1"/>
  <c r="I23" i="1"/>
  <c r="A24" i="1"/>
  <c r="E23" i="1"/>
  <c r="B20" i="3"/>
  <c r="D20" i="3" s="1"/>
  <c r="I24" i="1" l="1"/>
  <c r="A25" i="1"/>
  <c r="C24" i="1"/>
  <c r="B21" i="3"/>
  <c r="D21" i="3" s="1"/>
  <c r="C25" i="1" l="1"/>
  <c r="I25" i="1"/>
  <c r="A26" i="1"/>
  <c r="E25" i="1"/>
  <c r="D6" i="1"/>
  <c r="F6" i="1" s="1"/>
  <c r="B22" i="3"/>
  <c r="D22" i="3" s="1"/>
  <c r="I26" i="1" l="1"/>
  <c r="H26" i="1"/>
  <c r="A27" i="1"/>
  <c r="E26" i="1"/>
  <c r="C26" i="1"/>
  <c r="G6" i="1"/>
  <c r="H6" i="1" s="1"/>
  <c r="B7" i="1"/>
  <c r="M6" i="1"/>
  <c r="B23" i="3"/>
  <c r="D23" i="3" s="1"/>
  <c r="C27" i="1" l="1"/>
  <c r="D7" i="1"/>
  <c r="F7" i="1" s="1"/>
  <c r="B8" i="1" s="1"/>
  <c r="J7" i="1"/>
  <c r="I27" i="1"/>
  <c r="H27" i="1"/>
  <c r="A28" i="1"/>
  <c r="K6" i="1"/>
  <c r="B24" i="3"/>
  <c r="D24" i="3" s="1"/>
  <c r="M7" i="1" l="1"/>
  <c r="G7" i="1"/>
  <c r="H7" i="1" s="1"/>
  <c r="K7" i="1" s="1"/>
  <c r="L7" i="1" s="1"/>
  <c r="D8" i="1"/>
  <c r="F8" i="1" s="1"/>
  <c r="B9" i="1" s="1"/>
  <c r="J8" i="1"/>
  <c r="I28" i="1"/>
  <c r="H28" i="1"/>
  <c r="L6" i="1"/>
  <c r="N6" i="1"/>
  <c r="A29" i="1"/>
  <c r="E28" i="1"/>
  <c r="C28" i="1"/>
  <c r="B25" i="3"/>
  <c r="D25" i="3" s="1"/>
  <c r="G8" i="1" l="1"/>
  <c r="E9" i="1"/>
  <c r="M8" i="1"/>
  <c r="D9" i="1"/>
  <c r="F9" i="1" s="1"/>
  <c r="J9" i="1"/>
  <c r="I29" i="1"/>
  <c r="H29" i="1"/>
  <c r="H8" i="1"/>
  <c r="K8" i="1" s="1"/>
  <c r="N7" i="1"/>
  <c r="E29" i="1"/>
  <c r="A30" i="1"/>
  <c r="C29" i="1"/>
  <c r="B26" i="3"/>
  <c r="D26" i="3" s="1"/>
  <c r="I30" i="1" l="1"/>
  <c r="H30" i="1"/>
  <c r="N8" i="1"/>
  <c r="L8" i="1"/>
  <c r="C30" i="1"/>
  <c r="A31" i="1"/>
  <c r="M9" i="1"/>
  <c r="B10" i="1"/>
  <c r="G9" i="1"/>
  <c r="H9" i="1" s="1"/>
  <c r="B27" i="3"/>
  <c r="D27" i="3" s="1"/>
  <c r="I31" i="1" l="1"/>
  <c r="H31" i="1"/>
  <c r="D10" i="1"/>
  <c r="F10" i="1" s="1"/>
  <c r="J10" i="1"/>
  <c r="C31" i="1"/>
  <c r="E31" i="1"/>
  <c r="A32" i="1"/>
  <c r="K9" i="1"/>
  <c r="L9" i="1" s="1"/>
  <c r="B28" i="3"/>
  <c r="D28" i="3" s="1"/>
  <c r="M10" i="1" l="1"/>
  <c r="H32" i="1"/>
  <c r="I32" i="1"/>
  <c r="G10" i="1"/>
  <c r="H10" i="1" s="1"/>
  <c r="K10" i="1" s="1"/>
  <c r="B11" i="1"/>
  <c r="N9" i="1"/>
  <c r="C32" i="1"/>
  <c r="E32" i="1"/>
  <c r="A33" i="1"/>
  <c r="B29" i="3"/>
  <c r="D29" i="3" s="1"/>
  <c r="D11" i="1" l="1"/>
  <c r="F11" i="1" s="1"/>
  <c r="J11" i="1"/>
  <c r="H33" i="1"/>
  <c r="I33" i="1"/>
  <c r="L10" i="1"/>
  <c r="N10" i="1"/>
  <c r="C33" i="1"/>
  <c r="A34" i="1"/>
  <c r="B30" i="3"/>
  <c r="D30" i="3" s="1"/>
  <c r="I34" i="1" l="1"/>
  <c r="H34" i="1"/>
  <c r="B12" i="1"/>
  <c r="E12" i="1"/>
  <c r="M11" i="1"/>
  <c r="G11" i="1"/>
  <c r="H11" i="1" s="1"/>
  <c r="K11" i="1" s="1"/>
  <c r="C34" i="1"/>
  <c r="A35" i="1"/>
  <c r="E34" i="1"/>
  <c r="B31" i="3"/>
  <c r="D31" i="3" s="1"/>
  <c r="N11" i="1" l="1"/>
  <c r="L11" i="1"/>
  <c r="I35" i="1"/>
  <c r="H35" i="1"/>
  <c r="D12" i="1"/>
  <c r="F12" i="1" s="1"/>
  <c r="J12" i="1"/>
  <c r="C35" i="1"/>
  <c r="A36" i="1"/>
  <c r="E35" i="1"/>
  <c r="B32" i="3"/>
  <c r="D32" i="3" s="1"/>
  <c r="H36" i="1" l="1"/>
  <c r="I36" i="1"/>
  <c r="B13" i="1"/>
  <c r="G12" i="1"/>
  <c r="H12" i="1" s="1"/>
  <c r="K12" i="1" s="1"/>
  <c r="M12" i="1"/>
  <c r="C36" i="1"/>
  <c r="A37" i="1"/>
  <c r="B33" i="3"/>
  <c r="D33" i="3" s="1"/>
  <c r="L12" i="1" l="1"/>
  <c r="N12" i="1"/>
  <c r="I37" i="1"/>
  <c r="H37" i="1"/>
  <c r="D13" i="1"/>
  <c r="F13" i="1" s="1"/>
  <c r="J13" i="1"/>
  <c r="C37" i="1"/>
  <c r="E37" i="1"/>
  <c r="A38" i="1"/>
  <c r="B34" i="3"/>
  <c r="D34" i="3" s="1"/>
  <c r="B14" i="1" l="1"/>
  <c r="M13" i="1"/>
  <c r="G13" i="1"/>
  <c r="H13" i="1" s="1"/>
  <c r="K13" i="1" s="1"/>
  <c r="I38" i="1"/>
  <c r="H38" i="1"/>
  <c r="C38" i="1"/>
  <c r="A39" i="1"/>
  <c r="E38" i="1"/>
  <c r="B35" i="3"/>
  <c r="D35" i="3" s="1"/>
  <c r="L13" i="1" l="1"/>
  <c r="N13" i="1"/>
  <c r="I39" i="1"/>
  <c r="H39" i="1"/>
  <c r="D14" i="1"/>
  <c r="F14" i="1" s="1"/>
  <c r="J14" i="1"/>
  <c r="A40" i="1"/>
  <c r="C39" i="1"/>
  <c r="B36" i="3"/>
  <c r="D36" i="3" s="1"/>
  <c r="H40" i="1" l="1"/>
  <c r="I40" i="1"/>
  <c r="B15" i="1"/>
  <c r="M14" i="1"/>
  <c r="G14" i="1"/>
  <c r="H14" i="1" s="1"/>
  <c r="K14" i="1" s="1"/>
  <c r="E15" i="1"/>
  <c r="E40" i="1"/>
  <c r="C40" i="1"/>
  <c r="A41" i="1"/>
  <c r="B37" i="3"/>
  <c r="D37" i="3" s="1"/>
  <c r="L14" i="1" l="1"/>
  <c r="N14" i="1"/>
  <c r="H41" i="1"/>
  <c r="I41" i="1"/>
  <c r="D15" i="1"/>
  <c r="F15" i="1" s="1"/>
  <c r="J15" i="1"/>
  <c r="E41" i="1"/>
  <c r="C41" i="1"/>
  <c r="A42" i="1"/>
  <c r="B38" i="3"/>
  <c r="B16" i="1" l="1"/>
  <c r="M15" i="1"/>
  <c r="G15" i="1"/>
  <c r="H15" i="1" s="1"/>
  <c r="K15" i="1" s="1"/>
  <c r="H42" i="1"/>
  <c r="I42" i="1"/>
  <c r="C42" i="1"/>
  <c r="A43" i="1"/>
  <c r="B39" i="3"/>
  <c r="L15" i="1" l="1"/>
  <c r="N15" i="1"/>
  <c r="I43" i="1"/>
  <c r="H43" i="1"/>
  <c r="D16" i="1"/>
  <c r="F16" i="1" s="1"/>
  <c r="J16" i="1"/>
  <c r="A44" i="1"/>
  <c r="C43" i="1"/>
  <c r="E43" i="1"/>
  <c r="B40" i="3"/>
  <c r="G16" i="1" l="1"/>
  <c r="H16" i="1"/>
  <c r="K16" i="1" s="1"/>
  <c r="M16" i="1"/>
  <c r="B17" i="1"/>
  <c r="I44" i="1"/>
  <c r="H44" i="1"/>
  <c r="A45" i="1"/>
  <c r="C44" i="1"/>
  <c r="E44" i="1"/>
  <c r="B41" i="3"/>
  <c r="B42" i="3"/>
  <c r="I45" i="1" l="1"/>
  <c r="H45" i="1"/>
  <c r="D17" i="1"/>
  <c r="F17" i="1" s="1"/>
  <c r="J17" i="1"/>
  <c r="L16" i="1"/>
  <c r="N16" i="1"/>
  <c r="C45" i="1"/>
  <c r="A46" i="1"/>
  <c r="B43" i="3"/>
  <c r="I46" i="1" l="1"/>
  <c r="H46" i="1"/>
  <c r="G17" i="1"/>
  <c r="H17" i="1"/>
  <c r="K17" i="1" s="1"/>
  <c r="B18" i="1"/>
  <c r="J18" i="1" s="1"/>
  <c r="E18" i="1"/>
  <c r="M17" i="1"/>
  <c r="A47" i="1"/>
  <c r="C46" i="1"/>
  <c r="E46" i="1"/>
  <c r="B44" i="3"/>
  <c r="I47" i="1" l="1"/>
  <c r="H47" i="1"/>
  <c r="N17" i="1"/>
  <c r="L17" i="1"/>
  <c r="A48" i="1"/>
  <c r="E47" i="1"/>
  <c r="C47" i="1"/>
  <c r="B45" i="3"/>
  <c r="H48" i="1" l="1"/>
  <c r="I48" i="1"/>
  <c r="C48" i="1"/>
  <c r="A49" i="1"/>
  <c r="B46" i="3"/>
  <c r="H49" i="1" l="1"/>
  <c r="I49" i="1"/>
  <c r="A50" i="1"/>
  <c r="C49" i="1"/>
  <c r="E49" i="1"/>
  <c r="B47" i="3"/>
  <c r="H50" i="1" l="1"/>
  <c r="I50" i="1"/>
  <c r="E50" i="1"/>
  <c r="A51" i="1"/>
  <c r="C50" i="1"/>
  <c r="B48" i="3"/>
  <c r="I51" i="1" l="1"/>
  <c r="H51" i="1"/>
  <c r="A52" i="1"/>
  <c r="C51" i="1"/>
  <c r="B49" i="3"/>
  <c r="I52" i="1" l="1"/>
  <c r="H52" i="1"/>
  <c r="C52" i="1"/>
  <c r="A53" i="1"/>
  <c r="E52" i="1"/>
  <c r="B50" i="3"/>
  <c r="I53" i="1" l="1"/>
  <c r="H53" i="1"/>
  <c r="C53" i="1"/>
  <c r="A54" i="1"/>
  <c r="E53" i="1"/>
  <c r="B51" i="3"/>
  <c r="H54" i="1" l="1"/>
  <c r="I54" i="1"/>
  <c r="A55" i="1"/>
  <c r="C54" i="1"/>
  <c r="D18" i="1"/>
  <c r="F18" i="1" s="1"/>
  <c r="I55" i="1" l="1"/>
  <c r="H55" i="1"/>
  <c r="I56" i="1"/>
  <c r="C55" i="1"/>
  <c r="C56" i="1" s="1"/>
  <c r="C17" i="2" s="1"/>
  <c r="E55" i="1"/>
  <c r="G18" i="1"/>
  <c r="M18" i="1"/>
  <c r="B19" i="1"/>
  <c r="J19" i="1" s="1"/>
  <c r="H18" i="1" l="1"/>
  <c r="K18" i="1" s="1"/>
  <c r="D19" i="1"/>
  <c r="L18" i="1" l="1"/>
  <c r="N18" i="1"/>
  <c r="F19" i="1"/>
  <c r="B20" i="1" l="1"/>
  <c r="J20" i="1" s="1"/>
  <c r="M19" i="1"/>
  <c r="G19" i="1"/>
  <c r="H19" i="1" s="1"/>
  <c r="D20" i="1" l="1"/>
  <c r="K19" i="1"/>
  <c r="F20" i="1" l="1"/>
  <c r="B21" i="1" l="1"/>
  <c r="J21" i="1" s="1"/>
  <c r="G20" i="1"/>
  <c r="H20" i="1" s="1"/>
  <c r="E21" i="1"/>
  <c r="M20" i="1"/>
  <c r="N19" i="1"/>
  <c r="L19" i="1"/>
  <c r="D21" i="1" l="1"/>
  <c r="K20" i="1"/>
  <c r="F21" i="1" l="1"/>
  <c r="G21" i="1" l="1"/>
  <c r="H21" i="1" s="1"/>
  <c r="B22" i="1"/>
  <c r="J22" i="1" s="1"/>
  <c r="M21" i="1"/>
  <c r="N20" i="1"/>
  <c r="L20" i="1"/>
  <c r="K21" i="1" l="1"/>
  <c r="D22" i="1"/>
  <c r="F22" i="1" s="1"/>
  <c r="M22" i="1" l="1"/>
  <c r="B23" i="1"/>
  <c r="J23" i="1" s="1"/>
  <c r="G22" i="1"/>
  <c r="H22" i="1" s="1"/>
  <c r="N21" i="1"/>
  <c r="L21" i="1"/>
  <c r="K22" i="1" l="1"/>
  <c r="D23" i="1"/>
  <c r="F23" i="1" s="1"/>
  <c r="B24" i="1" l="1"/>
  <c r="J24" i="1" s="1"/>
  <c r="E24" i="1"/>
  <c r="M23" i="1"/>
  <c r="G23" i="1"/>
  <c r="H23" i="1" s="1"/>
  <c r="N22" i="1"/>
  <c r="L22" i="1"/>
  <c r="K23" i="1" l="1"/>
  <c r="D24" i="1"/>
  <c r="N23" i="1" l="1"/>
  <c r="L23" i="1"/>
  <c r="F24" i="1"/>
  <c r="B25" i="1" l="1"/>
  <c r="G24" i="1"/>
  <c r="H24" i="1" s="1"/>
  <c r="M24" i="1"/>
  <c r="D25" i="1" l="1"/>
  <c r="J25" i="1"/>
  <c r="K24" i="1"/>
  <c r="F25" i="1"/>
  <c r="B26" i="1" l="1"/>
  <c r="G26" i="1"/>
  <c r="K26" i="1" s="1"/>
  <c r="M26" i="1"/>
  <c r="B27" i="1"/>
  <c r="E27" i="1"/>
  <c r="M25" i="1"/>
  <c r="G25" i="1"/>
  <c r="H25" i="1" s="1"/>
  <c r="N24" i="1"/>
  <c r="L24" i="1"/>
  <c r="D27" i="1" l="1"/>
  <c r="J27" i="1"/>
  <c r="D26" i="1"/>
  <c r="F26" i="1" s="1"/>
  <c r="J26" i="1"/>
  <c r="F27" i="1"/>
  <c r="N26" i="1"/>
  <c r="L26" i="1"/>
  <c r="K25" i="1"/>
  <c r="M27" i="1" l="1"/>
  <c r="G27" i="1"/>
  <c r="B28" i="1"/>
  <c r="D28" i="1" l="1"/>
  <c r="J28" i="1"/>
  <c r="F28" i="1"/>
  <c r="L25" i="1"/>
  <c r="N25" i="1"/>
  <c r="K27" i="1" l="1"/>
  <c r="G28" i="1"/>
  <c r="M28" i="1"/>
  <c r="B29" i="1"/>
  <c r="D29" i="1" l="1"/>
  <c r="J29" i="1"/>
  <c r="F29" i="1"/>
  <c r="L27" i="1"/>
  <c r="N27" i="1"/>
  <c r="K28" i="1" l="1"/>
  <c r="G29" i="1"/>
  <c r="M29" i="1"/>
  <c r="E30" i="1"/>
  <c r="B30" i="1"/>
  <c r="D30" i="1" l="1"/>
  <c r="J30" i="1"/>
  <c r="F30" i="1"/>
  <c r="L28" i="1"/>
  <c r="N28" i="1"/>
  <c r="K29" i="1" l="1"/>
  <c r="B31" i="1"/>
  <c r="J31" i="1" s="1"/>
  <c r="M30" i="1"/>
  <c r="G30" i="1"/>
  <c r="D31" i="1" l="1"/>
  <c r="F31" i="1" s="1"/>
  <c r="L29" i="1"/>
  <c r="N29" i="1"/>
  <c r="G31" i="1" l="1"/>
  <c r="M31" i="1"/>
  <c r="B32" i="1"/>
  <c r="K30" i="1"/>
  <c r="D32" i="1" l="1"/>
  <c r="F32" i="1" s="1"/>
  <c r="J32" i="1"/>
  <c r="L30" i="1"/>
  <c r="N30" i="1"/>
  <c r="M32" i="1"/>
  <c r="G32" i="1"/>
  <c r="K32" i="1" s="1"/>
  <c r="E33" i="1"/>
  <c r="B33" i="1"/>
  <c r="D33" i="1" l="1"/>
  <c r="F33" i="1" s="1"/>
  <c r="J33" i="1"/>
  <c r="G33" i="1"/>
  <c r="K33" i="1" s="1"/>
  <c r="M33" i="1"/>
  <c r="B34" i="1"/>
  <c r="K31" i="1"/>
  <c r="L32" i="1"/>
  <c r="N32" i="1"/>
  <c r="D34" i="1" l="1"/>
  <c r="F34" i="1" s="1"/>
  <c r="J34" i="1"/>
  <c r="L31" i="1"/>
  <c r="N31" i="1"/>
  <c r="M34" i="1"/>
  <c r="G34" i="1"/>
  <c r="K34" i="1" s="1"/>
  <c r="B35" i="1"/>
  <c r="L33" i="1"/>
  <c r="N33" i="1"/>
  <c r="D35" i="1" l="1"/>
  <c r="F35" i="1" s="1"/>
  <c r="J35" i="1"/>
  <c r="M35" i="1"/>
  <c r="G35" i="1"/>
  <c r="K35" i="1" s="1"/>
  <c r="E36" i="1"/>
  <c r="B36" i="1"/>
  <c r="N34" i="1"/>
  <c r="L34" i="1"/>
  <c r="D36" i="1" l="1"/>
  <c r="F36" i="1" s="1"/>
  <c r="J36" i="1"/>
  <c r="M36" i="1"/>
  <c r="G36" i="1"/>
  <c r="K36" i="1" s="1"/>
  <c r="B37" i="1"/>
  <c r="L35" i="1"/>
  <c r="N35" i="1"/>
  <c r="D37" i="1" l="1"/>
  <c r="F37" i="1" s="1"/>
  <c r="J37" i="1"/>
  <c r="N36" i="1"/>
  <c r="L36" i="1"/>
  <c r="M37" i="1"/>
  <c r="G37" i="1"/>
  <c r="K37" i="1" s="1"/>
  <c r="B38" i="1"/>
  <c r="D38" i="1" l="1"/>
  <c r="F38" i="1" s="1"/>
  <c r="J38" i="1"/>
  <c r="M38" i="1"/>
  <c r="G38" i="1"/>
  <c r="K38" i="1" s="1"/>
  <c r="E39" i="1"/>
  <c r="B39" i="1"/>
  <c r="N37" i="1"/>
  <c r="L37" i="1"/>
  <c r="D39" i="1" l="1"/>
  <c r="F39" i="1" s="1"/>
  <c r="J39" i="1"/>
  <c r="N38" i="1"/>
  <c r="L38" i="1"/>
  <c r="G39" i="1"/>
  <c r="K39" i="1" s="1"/>
  <c r="M39" i="1"/>
  <c r="B40" i="1"/>
  <c r="D40" i="1" l="1"/>
  <c r="F40" i="1" s="1"/>
  <c r="J40" i="1"/>
  <c r="G40" i="1"/>
  <c r="K40" i="1" s="1"/>
  <c r="M40" i="1"/>
  <c r="B41" i="1"/>
  <c r="J41" i="1" s="1"/>
  <c r="N39" i="1"/>
  <c r="L39" i="1"/>
  <c r="D41" i="1" l="1"/>
  <c r="F41" i="1" s="1"/>
  <c r="L40" i="1"/>
  <c r="N40" i="1"/>
  <c r="G41" i="1" l="1"/>
  <c r="K41" i="1" s="1"/>
  <c r="M41" i="1"/>
  <c r="B42" i="1"/>
  <c r="J42" i="1" s="1"/>
  <c r="E42" i="1"/>
  <c r="D42" i="1" l="1"/>
  <c r="F42" i="1" s="1"/>
  <c r="L41" i="1"/>
  <c r="N41" i="1"/>
  <c r="G42" i="1" l="1"/>
  <c r="K42" i="1" s="1"/>
  <c r="M42" i="1"/>
  <c r="B43" i="1"/>
  <c r="D43" i="1" l="1"/>
  <c r="F43" i="1" s="1"/>
  <c r="J43" i="1"/>
  <c r="M43" i="1"/>
  <c r="G43" i="1"/>
  <c r="K43" i="1" s="1"/>
  <c r="B44" i="1"/>
  <c r="N42" i="1"/>
  <c r="L42" i="1"/>
  <c r="D44" i="1" l="1"/>
  <c r="F44" i="1" s="1"/>
  <c r="J44" i="1"/>
  <c r="L43" i="1"/>
  <c r="N43" i="1"/>
  <c r="B45" i="1"/>
  <c r="J45" i="1" s="1"/>
  <c r="E45" i="1"/>
  <c r="G44" i="1"/>
  <c r="K44" i="1" s="1"/>
  <c r="M44" i="1"/>
  <c r="N44" i="1" l="1"/>
  <c r="L44" i="1"/>
  <c r="D45" i="1"/>
  <c r="F45" i="1" l="1"/>
  <c r="B46" i="1" s="1"/>
  <c r="J46" i="1" s="1"/>
  <c r="D46" i="1" l="1"/>
  <c r="F46" i="1" s="1"/>
  <c r="M45" i="1"/>
  <c r="G45" i="1"/>
  <c r="M46" i="1" l="1"/>
  <c r="B47" i="1"/>
  <c r="J47" i="1" s="1"/>
  <c r="G46" i="1"/>
  <c r="K46" i="1" s="1"/>
  <c r="D47" i="1" l="1"/>
  <c r="F47" i="1" s="1"/>
  <c r="L46" i="1"/>
  <c r="N46" i="1"/>
  <c r="K45" i="1"/>
  <c r="E48" i="1" l="1"/>
  <c r="M47" i="1"/>
  <c r="G47" i="1"/>
  <c r="B48" i="1"/>
  <c r="J48" i="1" s="1"/>
  <c r="L45" i="1"/>
  <c r="N45" i="1"/>
  <c r="K47" i="1" l="1"/>
  <c r="D48" i="1"/>
  <c r="F48" i="1" s="1"/>
  <c r="M48" i="1" l="1"/>
  <c r="G48" i="1"/>
  <c r="B49" i="1"/>
  <c r="N47" i="1"/>
  <c r="L47" i="1"/>
  <c r="D49" i="1" l="1"/>
  <c r="F49" i="1" s="1"/>
  <c r="J49" i="1"/>
  <c r="G49" i="1"/>
  <c r="K49" i="1" s="1"/>
  <c r="M49" i="1"/>
  <c r="B50" i="1"/>
  <c r="D50" i="1" l="1"/>
  <c r="F50" i="1" s="1"/>
  <c r="J50" i="1"/>
  <c r="E51" i="1"/>
  <c r="M50" i="1"/>
  <c r="G50" i="1"/>
  <c r="B51" i="1"/>
  <c r="K48" i="1"/>
  <c r="L49" i="1"/>
  <c r="N49" i="1"/>
  <c r="D51" i="1" l="1"/>
  <c r="F51" i="1" s="1"/>
  <c r="J51" i="1"/>
  <c r="N48" i="1"/>
  <c r="L48" i="1"/>
  <c r="B52" i="1"/>
  <c r="M51" i="1"/>
  <c r="G51" i="1"/>
  <c r="K51" i="1" s="1"/>
  <c r="D52" i="1" l="1"/>
  <c r="F52" i="1" s="1"/>
  <c r="J52" i="1"/>
  <c r="K50" i="1"/>
  <c r="B53" i="1"/>
  <c r="G52" i="1"/>
  <c r="M52" i="1"/>
  <c r="N51" i="1"/>
  <c r="L51" i="1"/>
  <c r="D53" i="1" l="1"/>
  <c r="J53" i="1"/>
  <c r="F53" i="1"/>
  <c r="B54" i="1" s="1"/>
  <c r="L50" i="1"/>
  <c r="N50" i="1"/>
  <c r="D54" i="1" l="1"/>
  <c r="J54" i="1"/>
  <c r="E54" i="1"/>
  <c r="E56" i="1" s="1"/>
  <c r="C18" i="2" s="1"/>
  <c r="M53" i="1"/>
  <c r="G53" i="1"/>
  <c r="K52" i="1"/>
  <c r="F54" i="1" l="1"/>
  <c r="L52" i="1"/>
  <c r="N52" i="1"/>
  <c r="M54" i="1" l="1"/>
  <c r="G54" i="1"/>
  <c r="B55" i="1"/>
  <c r="J55" i="1" s="1"/>
  <c r="J56" i="1" s="1"/>
  <c r="K53" i="1"/>
  <c r="D55" i="1" l="1"/>
  <c r="D56" i="1" s="1"/>
  <c r="F56" i="1" s="1"/>
  <c r="C19" i="2" s="1"/>
  <c r="L53" i="1"/>
  <c r="N53" i="1"/>
  <c r="K54" i="1" l="1"/>
  <c r="F55" i="1"/>
  <c r="G55" i="1" l="1"/>
  <c r="G56" i="1" s="1"/>
  <c r="M55" i="1"/>
  <c r="M56" i="1" s="1"/>
  <c r="L54" i="1"/>
  <c r="N54" i="1"/>
  <c r="C21" i="2" l="1"/>
  <c r="O56" i="1"/>
  <c r="K55" i="1"/>
  <c r="H56" i="1"/>
  <c r="N55" i="1" l="1"/>
  <c r="L55" i="1"/>
  <c r="K56" i="1"/>
  <c r="L56" i="1" l="1"/>
  <c r="C20" i="2"/>
  <c r="C22" i="2" s="1"/>
  <c r="C23" i="2" s="1"/>
  <c r="N56" i="1"/>
  <c r="M57" i="1"/>
  <c r="N57" i="1" s="1"/>
</calcChain>
</file>

<file path=xl/sharedStrings.xml><?xml version="1.0" encoding="utf-8"?>
<sst xmlns="http://schemas.openxmlformats.org/spreadsheetml/2006/main" count="76" uniqueCount="70">
  <si>
    <t>To be charged/ deducted as applicable under statutory laws.</t>
  </si>
  <si>
    <t>NA</t>
  </si>
  <si>
    <t>GST/ TDS/ Statutory Levies</t>
  </si>
  <si>
    <t>Minimum and Maximum fee would be adjusted form time to time based on CII based inflation adjustments as approved under SEBI IA Regulations (current fee calculation as per SEBI Cicular No SEBI/HO/MIRSD-PoD-1/P/CIR/2025/003 dated 8 January 2025).</t>
  </si>
  <si>
    <t>Fee adjustments</t>
  </si>
  <si>
    <t>Advance</t>
  </si>
  <si>
    <t>Payment Terms</t>
  </si>
  <si>
    <t>Assumed at 1% of Total AUA (based on prevailing model and practice) for a typical advisory/ distribution service model.</t>
  </si>
  <si>
    <t>Benchmark Fee</t>
  </si>
  <si>
    <t>2% on Net Incremental AUA (drops to 1% if Closing AUA&gt;1Crores). Final Chargeable Fee is rounded-off to nearest Thousand Rupees.</t>
  </si>
  <si>
    <t>AUA Based Fee</t>
  </si>
  <si>
    <t>Redemptions</t>
  </si>
  <si>
    <t>Assumed XIRR for a reasonably diversified portfolio (based on past returns). These return are neither guaranteed/ assured nor likely to be linear.</t>
  </si>
  <si>
    <t>Market Return</t>
  </si>
  <si>
    <t>Remarks</t>
  </si>
  <si>
    <t>Assumption</t>
  </si>
  <si>
    <t>Category</t>
  </si>
  <si>
    <t>S. No.</t>
  </si>
  <si>
    <t>Closing</t>
  </si>
  <si>
    <t>Calculated (% of Closing AUA)</t>
  </si>
  <si>
    <t>Chargeable</t>
  </si>
  <si>
    <t>Maximum</t>
  </si>
  <si>
    <t>Minimum</t>
  </si>
  <si>
    <t>Incremental AUA Based</t>
  </si>
  <si>
    <t>Incremental AUA</t>
  </si>
  <si>
    <t>Opening</t>
  </si>
  <si>
    <t>Comparison (Ours vs Benchmark)</t>
  </si>
  <si>
    <t>Benchmark Fee (% of Closing AUA)</t>
  </si>
  <si>
    <t>Fee Calculation</t>
  </si>
  <si>
    <t>Details of Assets Under Advice (AUA)</t>
  </si>
  <si>
    <t>Year</t>
  </si>
  <si>
    <t>Annual Investment</t>
  </si>
  <si>
    <t>Investment Mode</t>
  </si>
  <si>
    <t>Note:</t>
  </si>
  <si>
    <t>Inputs in Yellow Cells Only.</t>
  </si>
  <si>
    <t>For Client Inputs:</t>
  </si>
  <si>
    <t>Potential Fee Savings</t>
  </si>
  <si>
    <t>Potential Fee Savings (%)</t>
  </si>
  <si>
    <t>Total Fee Payable</t>
  </si>
  <si>
    <t>Closing Corpus</t>
  </si>
  <si>
    <t>Total Redemptions</t>
  </si>
  <si>
    <t>Gross Investment</t>
  </si>
  <si>
    <t>Output</t>
  </si>
  <si>
    <t>Particulars</t>
  </si>
  <si>
    <t>Investment Amount</t>
  </si>
  <si>
    <t>Input either "SIP" or "Lumpsum" only. Lumpsum is assumed at the start of the year and SIP on 1st day of each month.</t>
  </si>
  <si>
    <t>To be billed Annually (in advance) based on opening AUA. Any pending adjustment in fee (upward/ downward) for a particular period to be incorporated in next billing cycle. This may be modified from time-to-time in line with regulatory requirements.</t>
  </si>
  <si>
    <t>Investment Period</t>
  </si>
  <si>
    <t>Notes/ Assumptions related to fee calculation:</t>
  </si>
  <si>
    <t>MS SQUARE INVESTMENT ADVISORS LLP</t>
  </si>
  <si>
    <t>SEBI Registered Investment Adviser (Registration No: INA000020411)</t>
  </si>
  <si>
    <t>Input number of years for which you plan to remain invested (maximum upto 50 years).</t>
  </si>
  <si>
    <t>Illustrative Fee Calculation:</t>
  </si>
  <si>
    <t>Annual</t>
  </si>
  <si>
    <t>SIP</t>
  </si>
  <si>
    <t>Incremental Return</t>
  </si>
  <si>
    <t>Base Return</t>
  </si>
  <si>
    <t>Current Investments (Opening Corpus)</t>
  </si>
  <si>
    <t>Total XIRR</t>
  </si>
  <si>
    <t>Amount is for Year 1 only</t>
  </si>
  <si>
    <t>Input % of annual increase in investment amount that the investor can manage. Input "0%" for Onetime lumpsum investment mode.</t>
  </si>
  <si>
    <t>Input either "One-time" or "Annual" only.</t>
  </si>
  <si>
    <t>Input Value of Current Investments that you plan to bring under the ambit of our investment advice, if any. Enter "0" if not applicable.</t>
  </si>
  <si>
    <t>Recurring Investment Frequency</t>
  </si>
  <si>
    <t>Investment Period (in Years)</t>
  </si>
  <si>
    <t>Expected Market Return (XIRR)</t>
  </si>
  <si>
    <t>Periodic Redemptions</t>
  </si>
  <si>
    <t>Annual Top-up in Investment (%)</t>
  </si>
  <si>
    <t>Assumed up to X% of closing corpus of previous year (after every 3 years) for meeting identified goals. Redemptions would be added back for computation of incremental corpus for the year, unless reinvested (switch cases) i.e.  already included in new investments.</t>
  </si>
  <si>
    <t>Output Summary (Refer Detailed Calculation in next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</si>
</sst>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18" x14ac:knownFonts="1">
    <font>
      <sz val="11"/>
      <color theme="1"/>
      <name val="Aptos Narrow"/>
      <family val="2"/>
      <scheme val="minor"/>
    </font>
    <font>
      <sz val="10"/>
      <color theme="1"/>
      <name val="Georgia Pro"/>
      <family val="2"/>
    </font>
    <font>
      <sz val="11"/>
      <color theme="1"/>
      <name val="Aptos Narrow"/>
      <family val="2"/>
      <scheme val="minor"/>
    </font>
    <font>
      <b/>
      <sz val="24"/>
      <color theme="1"/>
      <name val="Georgia Pro"/>
      <family val="1"/>
    </font>
    <font>
      <b/>
      <sz val="20"/>
      <color theme="1"/>
      <name val="Georgia Pro"/>
      <family val="1"/>
    </font>
    <font>
      <sz val="10"/>
      <color theme="1"/>
      <name val="Georgia Pro"/>
      <family val="1"/>
    </font>
    <font>
      <b/>
      <sz val="12"/>
      <color theme="1"/>
      <name val="Georgia Pro"/>
      <family val="1"/>
    </font>
    <font>
      <b/>
      <sz val="10"/>
      <color theme="0"/>
      <name val="Georgia Pro"/>
      <family val="1"/>
    </font>
    <font>
      <sz val="10"/>
      <color theme="0"/>
      <name val="Georgia Pro"/>
      <family val="1"/>
    </font>
    <font>
      <b/>
      <sz val="10"/>
      <color theme="1"/>
      <name val="Georgia Pro"/>
      <family val="1"/>
    </font>
    <font>
      <sz val="12"/>
      <color theme="1"/>
      <name val="Georgia Pro"/>
      <family val="1"/>
    </font>
    <font>
      <b/>
      <sz val="9"/>
      <color theme="0"/>
      <name val="Georgia Pro"/>
      <family val="1"/>
    </font>
    <font>
      <sz val="9"/>
      <color theme="1"/>
      <name val="Georgia Pro"/>
      <family val="1"/>
    </font>
    <font>
      <b/>
      <sz val="9"/>
      <color theme="1"/>
      <name val="Georgia Pro"/>
      <family val="1"/>
    </font>
    <font>
      <b/>
      <u/>
      <sz val="12"/>
      <color theme="1"/>
      <name val="Georgia Pro"/>
      <family val="1"/>
    </font>
    <font>
      <sz val="10"/>
      <name val="Georgia Pro"/>
      <family val="1"/>
    </font>
    <font>
      <sz val="11"/>
      <color theme="1"/>
      <name val="Georgia Pro"/>
      <family val="1"/>
    </font>
    <font>
      <sz val="9"/>
      <color theme="0" tint="-0.34998626667073579"/>
      <name val="Georgia Pro"/>
      <family val="1"/>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0070C0"/>
        <bgColor indexed="64"/>
      </patternFill>
    </fill>
    <fill>
      <patternFill patternType="solid">
        <fgColor rgb="FFFFFF99"/>
        <bgColor indexed="64"/>
      </patternFill>
    </fill>
    <fill>
      <patternFill patternType="solid">
        <fgColor theme="0" tint="-0.34998626667073579"/>
        <bgColor indexed="64"/>
      </patternFill>
    </fill>
  </fills>
  <borders count="30">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0" fontId="1" fillId="0" borderId="0"/>
  </cellStyleXfs>
  <cellXfs count="97">
    <xf numFmtId="0" fontId="0" fillId="0" borderId="0" xfId="0"/>
    <xf numFmtId="0" fontId="4"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wrapText="1"/>
    </xf>
    <xf numFmtId="0" fontId="7" fillId="4" borderId="4" xfId="0" applyFont="1" applyFill="1" applyBorder="1" applyAlignment="1">
      <alignment horizontal="center" vertical="center"/>
    </xf>
    <xf numFmtId="0" fontId="7" fillId="4" borderId="4" xfId="0" applyFont="1" applyFill="1" applyBorder="1" applyAlignment="1">
      <alignment horizontal="left" vertical="center"/>
    </xf>
    <xf numFmtId="0" fontId="7" fillId="4" borderId="4" xfId="0" applyFont="1" applyFill="1" applyBorder="1" applyAlignment="1">
      <alignment vertical="center"/>
    </xf>
    <xf numFmtId="0" fontId="8" fillId="0" borderId="0" xfId="0" applyFont="1" applyAlignment="1">
      <alignment vertical="center"/>
    </xf>
    <xf numFmtId="0" fontId="5" fillId="0" borderId="4" xfId="0" applyFont="1" applyBorder="1" applyAlignment="1">
      <alignment horizontal="center" vertical="center"/>
    </xf>
    <xf numFmtId="0" fontId="5" fillId="0" borderId="4" xfId="0" applyFont="1" applyBorder="1" applyAlignment="1">
      <alignment horizontal="left" vertical="center" wrapText="1"/>
    </xf>
    <xf numFmtId="164" fontId="5" fillId="5" borderId="4" xfId="1" applyNumberFormat="1" applyFont="1" applyFill="1" applyBorder="1" applyAlignment="1">
      <alignment horizontal="center" vertical="center"/>
    </xf>
    <xf numFmtId="0" fontId="5" fillId="0" borderId="4" xfId="0" applyFont="1" applyBorder="1" applyAlignment="1">
      <alignment vertical="center" wrapText="1"/>
    </xf>
    <xf numFmtId="0" fontId="5" fillId="0" borderId="4" xfId="0" applyFont="1" applyBorder="1" applyAlignment="1">
      <alignment horizontal="left" vertical="center"/>
    </xf>
    <xf numFmtId="0" fontId="6"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vertical="center" wrapText="1"/>
    </xf>
    <xf numFmtId="9" fontId="9" fillId="3" borderId="4" xfId="2" applyFont="1" applyFill="1" applyBorder="1" applyAlignment="1">
      <alignment horizontal="center" vertical="center"/>
    </xf>
    <xf numFmtId="0" fontId="7" fillId="4" borderId="4" xfId="3" applyFont="1" applyFill="1" applyBorder="1" applyAlignment="1">
      <alignment horizontal="center" vertical="center" wrapText="1"/>
    </xf>
    <xf numFmtId="0" fontId="9" fillId="0" borderId="0" xfId="3" applyFont="1" applyAlignment="1">
      <alignment horizontal="center" vertical="center" wrapText="1"/>
    </xf>
    <xf numFmtId="0" fontId="1" fillId="0" borderId="4" xfId="3" applyBorder="1" applyAlignment="1">
      <alignment horizontal="center" vertical="center"/>
    </xf>
    <xf numFmtId="10" fontId="1" fillId="0" borderId="4" xfId="3" applyNumberFormat="1" applyBorder="1" applyAlignment="1">
      <alignment horizontal="center" vertical="center"/>
    </xf>
    <xf numFmtId="0" fontId="1" fillId="0" borderId="0" xfId="3"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0" fontId="12" fillId="0" borderId="0" xfId="0" applyFont="1" applyAlignment="1">
      <alignment vertical="center"/>
    </xf>
    <xf numFmtId="0" fontId="11" fillId="4" borderId="22"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2" fillId="0" borderId="0" xfId="0" applyFont="1" applyAlignment="1">
      <alignment vertical="center" wrapText="1"/>
    </xf>
    <xf numFmtId="0" fontId="12" fillId="0" borderId="16" xfId="0" applyFont="1" applyBorder="1" applyAlignment="1">
      <alignment horizontal="center" vertical="center"/>
    </xf>
    <xf numFmtId="164" fontId="12" fillId="2" borderId="16" xfId="1" applyNumberFormat="1" applyFont="1" applyFill="1" applyBorder="1" applyAlignment="1">
      <alignment horizontal="center" vertical="center"/>
    </xf>
    <xf numFmtId="164" fontId="12" fillId="0" borderId="14" xfId="1" applyNumberFormat="1" applyFont="1" applyFill="1" applyBorder="1" applyAlignment="1">
      <alignment horizontal="center" vertical="center"/>
    </xf>
    <xf numFmtId="164" fontId="12" fillId="0" borderId="14" xfId="1" applyNumberFormat="1" applyFont="1" applyBorder="1" applyAlignment="1">
      <alignment horizontal="center" vertical="center"/>
    </xf>
    <xf numFmtId="164" fontId="13" fillId="3" borderId="16" xfId="1" applyNumberFormat="1" applyFont="1" applyFill="1" applyBorder="1" applyAlignment="1">
      <alignment horizontal="center" vertical="center"/>
    </xf>
    <xf numFmtId="164" fontId="12" fillId="0" borderId="19" xfId="1" applyNumberFormat="1" applyFont="1" applyFill="1" applyBorder="1" applyAlignment="1">
      <alignment horizontal="center" vertical="center"/>
    </xf>
    <xf numFmtId="164" fontId="12" fillId="0" borderId="18" xfId="1" applyNumberFormat="1" applyFont="1" applyFill="1" applyBorder="1" applyAlignment="1">
      <alignment horizontal="center" vertical="center"/>
    </xf>
    <xf numFmtId="164" fontId="12" fillId="0" borderId="17" xfId="1" applyNumberFormat="1" applyFont="1" applyFill="1" applyBorder="1" applyAlignment="1">
      <alignment horizontal="center" vertical="center"/>
    </xf>
    <xf numFmtId="10" fontId="12" fillId="0" borderId="14" xfId="2" applyNumberFormat="1" applyFont="1" applyBorder="1" applyAlignment="1">
      <alignment horizontal="center" vertical="center"/>
    </xf>
    <xf numFmtId="164" fontId="12" fillId="0" borderId="12" xfId="0" applyNumberFormat="1" applyFont="1" applyBorder="1" applyAlignment="1">
      <alignment horizontal="center" vertical="center"/>
    </xf>
    <xf numFmtId="9" fontId="12" fillId="0" borderId="15" xfId="2" applyFont="1" applyBorder="1" applyAlignment="1">
      <alignment horizontal="center" vertical="center"/>
    </xf>
    <xf numFmtId="0" fontId="12" fillId="0" borderId="13" xfId="0" applyFont="1" applyBorder="1" applyAlignment="1">
      <alignment horizontal="center" vertical="center"/>
    </xf>
    <xf numFmtId="164" fontId="12" fillId="0" borderId="2" xfId="1" applyNumberFormat="1" applyFont="1" applyBorder="1" applyAlignment="1">
      <alignment horizontal="center" vertical="center"/>
    </xf>
    <xf numFmtId="164" fontId="12" fillId="2" borderId="13" xfId="1" applyNumberFormat="1" applyFont="1" applyFill="1" applyBorder="1" applyAlignment="1">
      <alignment horizontal="center" vertical="center"/>
    </xf>
    <xf numFmtId="164" fontId="12" fillId="0" borderId="4" xfId="1" applyNumberFormat="1" applyFont="1" applyFill="1" applyBorder="1" applyAlignment="1">
      <alignment horizontal="center" vertical="center"/>
    </xf>
    <xf numFmtId="164" fontId="12" fillId="0" borderId="3" xfId="1" applyNumberFormat="1" applyFont="1" applyFill="1" applyBorder="1" applyAlignment="1">
      <alignment horizontal="center" vertical="center"/>
    </xf>
    <xf numFmtId="0" fontId="11" fillId="4" borderId="8" xfId="0" applyFont="1" applyFill="1" applyBorder="1" applyAlignment="1">
      <alignment horizontal="center" vertical="center"/>
    </xf>
    <xf numFmtId="164" fontId="11" fillId="4" borderId="7" xfId="0" applyNumberFormat="1" applyFont="1" applyFill="1" applyBorder="1" applyAlignment="1">
      <alignment horizontal="center" vertical="center"/>
    </xf>
    <xf numFmtId="164" fontId="11" fillId="4" borderId="8" xfId="1" applyNumberFormat="1" applyFont="1" applyFill="1" applyBorder="1" applyAlignment="1">
      <alignment horizontal="center" vertical="center"/>
    </xf>
    <xf numFmtId="164" fontId="11" fillId="4" borderId="7" xfId="1" applyNumberFormat="1" applyFont="1" applyFill="1" applyBorder="1" applyAlignment="1">
      <alignment horizontal="center" vertical="center"/>
    </xf>
    <xf numFmtId="164" fontId="11" fillId="4" borderId="11" xfId="1" applyNumberFormat="1" applyFont="1" applyFill="1" applyBorder="1" applyAlignment="1">
      <alignment horizontal="center" vertical="center"/>
    </xf>
    <xf numFmtId="164" fontId="11" fillId="4" borderId="10" xfId="1" applyNumberFormat="1" applyFont="1" applyFill="1" applyBorder="1" applyAlignment="1">
      <alignment horizontal="center" vertical="center"/>
    </xf>
    <xf numFmtId="164" fontId="11" fillId="4" borderId="9" xfId="1" applyNumberFormat="1" applyFont="1" applyFill="1" applyBorder="1" applyAlignment="1">
      <alignment horizontal="center" vertical="center"/>
    </xf>
    <xf numFmtId="10" fontId="11" fillId="4" borderId="7" xfId="2" applyNumberFormat="1" applyFont="1" applyFill="1" applyBorder="1" applyAlignment="1">
      <alignment horizontal="center" vertical="center"/>
    </xf>
    <xf numFmtId="164" fontId="11" fillId="4" borderId="6" xfId="1" applyNumberFormat="1" applyFont="1" applyFill="1" applyBorder="1" applyAlignment="1">
      <alignment horizontal="center" vertical="center"/>
    </xf>
    <xf numFmtId="9" fontId="11" fillId="4" borderId="5" xfId="2" applyFont="1" applyFill="1" applyBorder="1" applyAlignment="1">
      <alignment horizontal="center" vertical="center"/>
    </xf>
    <xf numFmtId="0" fontId="13" fillId="4" borderId="0" xfId="0" applyFont="1" applyFill="1" applyAlignment="1">
      <alignment vertical="center"/>
    </xf>
    <xf numFmtId="0" fontId="13" fillId="0" borderId="0" xfId="0" applyFont="1" applyAlignment="1">
      <alignment horizontal="center" vertical="center"/>
    </xf>
    <xf numFmtId="164" fontId="13" fillId="0" borderId="0" xfId="0" applyNumberFormat="1" applyFont="1" applyAlignment="1">
      <alignment horizontal="center" vertical="center"/>
    </xf>
    <xf numFmtId="0" fontId="13" fillId="0" borderId="0" xfId="0" applyFont="1" applyAlignment="1">
      <alignment horizontal="right" vertical="center"/>
    </xf>
    <xf numFmtId="164" fontId="13" fillId="0" borderId="0" xfId="0" applyNumberFormat="1" applyFont="1" applyAlignment="1">
      <alignment vertical="center"/>
    </xf>
    <xf numFmtId="9" fontId="13" fillId="0" borderId="0" xfId="2" applyFont="1" applyAlignment="1">
      <alignment horizontal="center" vertical="center"/>
    </xf>
    <xf numFmtId="0" fontId="13" fillId="0" borderId="0" xfId="0" applyFont="1" applyAlignment="1">
      <alignment vertical="center"/>
    </xf>
    <xf numFmtId="0" fontId="14" fillId="0" borderId="0" xfId="0" applyFont="1" applyAlignment="1">
      <alignment horizontal="left" vertical="center"/>
    </xf>
    <xf numFmtId="164" fontId="10" fillId="0" borderId="0" xfId="0" applyNumberFormat="1" applyFont="1" applyAlignment="1">
      <alignment horizontal="center" vertical="center"/>
    </xf>
    <xf numFmtId="0" fontId="5" fillId="2" borderId="4"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0" xfId="0" applyFont="1" applyAlignment="1">
      <alignment horizontal="center" vertical="center"/>
    </xf>
    <xf numFmtId="164" fontId="9" fillId="3" borderId="4" xfId="1" applyNumberFormat="1" applyFont="1" applyFill="1" applyBorder="1" applyAlignment="1">
      <alignment horizontal="center" vertical="center"/>
    </xf>
    <xf numFmtId="10" fontId="5" fillId="5" borderId="4" xfId="0" applyNumberFormat="1" applyFont="1" applyFill="1" applyBorder="1" applyAlignment="1">
      <alignment horizontal="center" vertical="center"/>
    </xf>
    <xf numFmtId="10" fontId="5" fillId="2" borderId="4" xfId="0" applyNumberFormat="1" applyFont="1" applyFill="1" applyBorder="1" applyAlignment="1">
      <alignment horizontal="center" vertical="center"/>
    </xf>
    <xf numFmtId="10" fontId="13" fillId="4" borderId="0" xfId="2" applyNumberFormat="1" applyFont="1" applyFill="1" applyAlignment="1">
      <alignment vertical="center"/>
    </xf>
    <xf numFmtId="2" fontId="5" fillId="5" borderId="4" xfId="0" applyNumberFormat="1" applyFont="1" applyFill="1" applyBorder="1" applyAlignment="1">
      <alignment horizontal="center" vertical="center"/>
    </xf>
    <xf numFmtId="164" fontId="17" fillId="6" borderId="0" xfId="1" applyNumberFormat="1" applyFont="1" applyFill="1" applyAlignment="1">
      <alignment vertical="center"/>
    </xf>
    <xf numFmtId="0" fontId="3" fillId="0" borderId="0" xfId="0" applyFont="1" applyAlignment="1">
      <alignment horizontal="center" vertical="center" wrapText="1"/>
    </xf>
    <xf numFmtId="0" fontId="11" fillId="4" borderId="29" xfId="0" applyFont="1" applyFill="1" applyBorder="1" applyAlignment="1">
      <alignment horizontal="center" vertical="center"/>
    </xf>
    <xf numFmtId="0" fontId="11" fillId="4" borderId="26"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28"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5" fillId="0" borderId="3" xfId="0" applyFont="1" applyBorder="1" applyAlignment="1">
      <alignment horizontal="left"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15" fillId="0" borderId="3" xfId="0" applyFont="1" applyBorder="1" applyAlignment="1">
      <alignment horizontal="left" vertical="center"/>
    </xf>
    <xf numFmtId="0" fontId="16" fillId="0" borderId="2" xfId="0" applyFont="1" applyBorder="1" applyAlignment="1">
      <alignment horizontal="left" vertical="center" wrapText="1"/>
    </xf>
    <xf numFmtId="0" fontId="16" fillId="0" borderId="1" xfId="0" applyFont="1" applyBorder="1" applyAlignment="1">
      <alignment horizontal="left" vertical="center" wrapText="1"/>
    </xf>
  </cellXfs>
  <cellStyles count="4">
    <cellStyle name="Comma" xfId="1" builtinId="3"/>
    <cellStyle name="Normal" xfId="0" builtinId="0"/>
    <cellStyle name="Normal 2" xfId="3" xr:uid="{5792DD5E-EE2E-4A93-AB17-E7D0372EB82B}"/>
    <cellStyle name="Percent" xfId="2"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ssumed@12.12%25%20for%20a%20reasonably%20diversified%20portfolio%20(based%20on%20past%20returns).%20These%20return%20are%20neither%20guaranteed/%20assured%20nor%20likely%20to%20be%20linear."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ssumed@2%25%20on%20Net%20Incremetal%20AUA" TargetMode="External"/><Relationship Id="rId1" Type="http://schemas.openxmlformats.org/officeDocument/2006/relationships/hyperlink" Target="mailto:Assumed@2%25%20on%20Net%20Incremetal%20AU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FB4CB-C407-4E03-8B94-DA374295696A}">
  <sheetPr>
    <tabColor rgb="FFFFFF00"/>
  </sheetPr>
  <dimension ref="A1:N23"/>
  <sheetViews>
    <sheetView showGridLines="0" tabSelected="1" view="pageBreakPreview" zoomScale="90" zoomScaleNormal="100" zoomScaleSheetLayoutView="90" workbookViewId="0">
      <pane xSplit="2" ySplit="4" topLeftCell="C7" activePane="bottomRight" state="frozen"/>
      <selection pane="topRight" activeCell="C1" sqref="C1"/>
      <selection pane="bottomLeft" activeCell="A5" sqref="A5"/>
      <selection pane="bottomRight" activeCell="C23" sqref="C23"/>
    </sheetView>
  </sheetViews>
  <sheetFormatPr defaultColWidth="8.85546875" defaultRowHeight="12.75" x14ac:dyDescent="0.25"/>
  <cols>
    <col min="1" max="1" width="9" style="2" bestFit="1" customWidth="1"/>
    <col min="2" max="2" width="35.42578125" style="16" bestFit="1" customWidth="1"/>
    <col min="3" max="3" width="17.42578125" style="70" bestFit="1" customWidth="1"/>
    <col min="4" max="4" width="123.5703125" style="17" customWidth="1"/>
    <col min="5" max="16384" width="8.85546875" style="2"/>
  </cols>
  <sheetData>
    <row r="1" spans="1:14" ht="36" customHeight="1" x14ac:dyDescent="0.25">
      <c r="A1" s="77" t="s">
        <v>49</v>
      </c>
      <c r="B1" s="77"/>
      <c r="C1" s="77"/>
      <c r="D1" s="77"/>
      <c r="E1" s="1"/>
      <c r="F1" s="1"/>
      <c r="G1" s="1"/>
      <c r="H1" s="1"/>
      <c r="I1" s="1"/>
      <c r="J1" s="1"/>
      <c r="K1" s="1"/>
      <c r="L1" s="1"/>
      <c r="M1" s="1"/>
      <c r="N1" s="1"/>
    </row>
    <row r="2" spans="1:14" ht="36" customHeight="1" x14ac:dyDescent="0.25">
      <c r="A2" s="77" t="s">
        <v>50</v>
      </c>
      <c r="B2" s="77"/>
      <c r="C2" s="77"/>
      <c r="D2" s="77"/>
      <c r="E2" s="1"/>
      <c r="F2" s="1"/>
      <c r="G2" s="1"/>
      <c r="H2" s="1"/>
      <c r="I2" s="1"/>
      <c r="J2" s="1"/>
      <c r="K2" s="1"/>
      <c r="L2" s="1"/>
      <c r="M2" s="1"/>
      <c r="N2" s="1"/>
    </row>
    <row r="3" spans="1:14" s="3" customFormat="1" ht="18" customHeight="1" x14ac:dyDescent="0.25">
      <c r="A3" s="3" t="s">
        <v>35</v>
      </c>
      <c r="B3" s="4"/>
      <c r="C3" s="15"/>
      <c r="D3" s="5"/>
    </row>
    <row r="4" spans="1:14" s="9" customFormat="1" ht="18" customHeight="1" x14ac:dyDescent="0.25">
      <c r="A4" s="6" t="s">
        <v>17</v>
      </c>
      <c r="B4" s="7" t="s">
        <v>16</v>
      </c>
      <c r="C4" s="6" t="s">
        <v>15</v>
      </c>
      <c r="D4" s="8" t="s">
        <v>14</v>
      </c>
    </row>
    <row r="5" spans="1:14" s="9" customFormat="1" ht="18" customHeight="1" x14ac:dyDescent="0.25">
      <c r="A5" s="10">
        <v>1</v>
      </c>
      <c r="B5" s="11" t="s">
        <v>57</v>
      </c>
      <c r="C5" s="12">
        <v>1000000</v>
      </c>
      <c r="D5" s="11" t="s">
        <v>62</v>
      </c>
    </row>
    <row r="6" spans="1:14" ht="18" customHeight="1" x14ac:dyDescent="0.25">
      <c r="A6" s="10">
        <f t="shared" ref="A6" si="0">A5+1</f>
        <v>2</v>
      </c>
      <c r="B6" s="11" t="s">
        <v>63</v>
      </c>
      <c r="C6" s="12" t="s">
        <v>53</v>
      </c>
      <c r="D6" s="11" t="s">
        <v>61</v>
      </c>
    </row>
    <row r="7" spans="1:14" ht="18" customHeight="1" x14ac:dyDescent="0.25">
      <c r="A7" s="10">
        <f>A6+1</f>
        <v>3</v>
      </c>
      <c r="B7" s="11" t="s">
        <v>44</v>
      </c>
      <c r="C7" s="12">
        <v>1200000</v>
      </c>
      <c r="D7" s="13" t="s">
        <v>59</v>
      </c>
    </row>
    <row r="8" spans="1:14" ht="18" customHeight="1" x14ac:dyDescent="0.25">
      <c r="A8" s="10">
        <f t="shared" ref="A8:A11" si="1">A7+1</f>
        <v>4</v>
      </c>
      <c r="B8" s="14" t="s">
        <v>32</v>
      </c>
      <c r="C8" s="12" t="s">
        <v>54</v>
      </c>
      <c r="D8" s="11" t="s">
        <v>45</v>
      </c>
    </row>
    <row r="9" spans="1:14" ht="18" customHeight="1" x14ac:dyDescent="0.25">
      <c r="A9" s="10">
        <f t="shared" si="1"/>
        <v>5</v>
      </c>
      <c r="B9" s="14" t="s">
        <v>67</v>
      </c>
      <c r="C9" s="72">
        <v>0.1</v>
      </c>
      <c r="D9" s="11" t="s">
        <v>60</v>
      </c>
    </row>
    <row r="10" spans="1:14" ht="18" customHeight="1" x14ac:dyDescent="0.25">
      <c r="A10" s="10">
        <f t="shared" si="1"/>
        <v>6</v>
      </c>
      <c r="B10" s="14" t="s">
        <v>64</v>
      </c>
      <c r="C10" s="75">
        <v>20</v>
      </c>
      <c r="D10" s="11" t="s">
        <v>51</v>
      </c>
    </row>
    <row r="11" spans="1:14" ht="18.75" customHeight="1" x14ac:dyDescent="0.25">
      <c r="A11" s="10">
        <f t="shared" si="1"/>
        <v>7</v>
      </c>
      <c r="B11" s="14" t="s">
        <v>65</v>
      </c>
      <c r="C11" s="72">
        <f>MIN(VLOOKUP(C10,'Indicative XIRR Chart'!A:D,4,0)*90%,18%)</f>
        <v>0.153</v>
      </c>
      <c r="D11" s="11" t="s">
        <v>12</v>
      </c>
    </row>
    <row r="12" spans="1:14" ht="36" customHeight="1" x14ac:dyDescent="0.25">
      <c r="A12" s="10">
        <f>A11+1</f>
        <v>8</v>
      </c>
      <c r="B12" s="14" t="s">
        <v>66</v>
      </c>
      <c r="C12" s="72">
        <v>0.25</v>
      </c>
      <c r="D12" s="13" t="s">
        <v>68</v>
      </c>
    </row>
    <row r="13" spans="1:14" s="3" customFormat="1" ht="18" customHeight="1" x14ac:dyDescent="0.25">
      <c r="A13" s="15" t="s">
        <v>33</v>
      </c>
      <c r="B13" s="4" t="s">
        <v>34</v>
      </c>
      <c r="C13" s="15"/>
      <c r="D13" s="5"/>
    </row>
    <row r="14" spans="1:14" ht="18" customHeight="1" x14ac:dyDescent="0.25"/>
    <row r="15" spans="1:14" s="3" customFormat="1" ht="18" customHeight="1" x14ac:dyDescent="0.25">
      <c r="A15" s="3" t="s">
        <v>69</v>
      </c>
      <c r="B15" s="4"/>
      <c r="C15" s="15"/>
      <c r="D15" s="5"/>
    </row>
    <row r="16" spans="1:14" ht="18" customHeight="1" x14ac:dyDescent="0.25">
      <c r="A16" s="6" t="s">
        <v>17</v>
      </c>
      <c r="B16" s="7" t="s">
        <v>43</v>
      </c>
      <c r="C16" s="6" t="s">
        <v>42</v>
      </c>
    </row>
    <row r="17" spans="1:3" ht="18" customHeight="1" x14ac:dyDescent="0.25">
      <c r="A17" s="10">
        <v>1</v>
      </c>
      <c r="B17" s="14" t="s">
        <v>41</v>
      </c>
      <c r="C17" s="71">
        <f>SUM('Detailed Calculator'!B56:C56)</f>
        <v>69729999.391907275</v>
      </c>
    </row>
    <row r="18" spans="1:3" ht="18" customHeight="1" x14ac:dyDescent="0.25">
      <c r="A18" s="10">
        <f t="shared" ref="A18:A23" si="2">A17+1</f>
        <v>2</v>
      </c>
      <c r="B18" s="14" t="s">
        <v>40</v>
      </c>
      <c r="C18" s="71">
        <f>'Detailed Calculator'!$E$56</f>
        <v>69290029.733694121</v>
      </c>
    </row>
    <row r="19" spans="1:3" ht="18" customHeight="1" x14ac:dyDescent="0.25">
      <c r="A19" s="10">
        <f t="shared" si="2"/>
        <v>3</v>
      </c>
      <c r="B19" s="14" t="s">
        <v>39</v>
      </c>
      <c r="C19" s="71">
        <f>'Detailed Calculator'!$F$56</f>
        <v>134045331.91852276</v>
      </c>
    </row>
    <row r="20" spans="1:3" ht="18" customHeight="1" x14ac:dyDescent="0.25">
      <c r="A20" s="10">
        <f t="shared" si="2"/>
        <v>4</v>
      </c>
      <c r="B20" s="14" t="s">
        <v>38</v>
      </c>
      <c r="C20" s="71">
        <f>'Detailed Calculator'!$K$56</f>
        <v>1802900</v>
      </c>
    </row>
    <row r="21" spans="1:3" ht="18" customHeight="1" x14ac:dyDescent="0.25">
      <c r="A21" s="10">
        <f t="shared" si="2"/>
        <v>5</v>
      </c>
      <c r="B21" s="14" t="s">
        <v>8</v>
      </c>
      <c r="C21" s="71">
        <f>'Detailed Calculator'!$M$56</f>
        <v>9102000</v>
      </c>
    </row>
    <row r="22" spans="1:3" ht="18" customHeight="1" x14ac:dyDescent="0.25">
      <c r="A22" s="10">
        <f t="shared" si="2"/>
        <v>6</v>
      </c>
      <c r="B22" s="14" t="s">
        <v>36</v>
      </c>
      <c r="C22" s="71">
        <f>C21-$C$20</f>
        <v>7299100</v>
      </c>
    </row>
    <row r="23" spans="1:3" ht="18" customHeight="1" x14ac:dyDescent="0.25">
      <c r="A23" s="10">
        <f t="shared" si="2"/>
        <v>7</v>
      </c>
      <c r="B23" s="14" t="s">
        <v>37</v>
      </c>
      <c r="C23" s="18">
        <f>C22/$C$21</f>
        <v>0.80192265436167876</v>
      </c>
    </row>
  </sheetData>
  <mergeCells count="2">
    <mergeCell ref="A1:D1"/>
    <mergeCell ref="A2:D2"/>
  </mergeCells>
  <hyperlinks>
    <hyperlink ref="D11" r:id="rId1" display="Assumed@12.12% for a reasonably diversified portfolio (based on past returns). These return are neither guaranteed/ assured nor likely to be linear." xr:uid="{1112C42F-4244-4E35-99E5-589E0B02BB29}"/>
  </hyperlinks>
  <pageMargins left="0.70866141732283472" right="0.70866141732283472" top="0.74803149606299213" bottom="0.74803149606299213" header="0.31496062992125984" footer="0.31496062992125984"/>
  <pageSetup paperSize="9" scale="70" orientation="landscape" r:id="rId2"/>
  <headerFooter>
    <oddFooter xml:space="preserve">&amp;L&amp;"Georgia,Bold"&amp;10&amp;A
&amp;C&amp;"Georgia,Bold"&amp;F
&amp;R&amp;"Georgia,Bold"Page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97C10-0998-41BB-853F-76DA0E69FAC4}">
  <dimension ref="A1:O63"/>
  <sheetViews>
    <sheetView showGridLines="0" view="pageBreakPreview" zoomScale="90" zoomScaleNormal="100" zoomScaleSheetLayoutView="90" workbookViewId="0">
      <pane xSplit="3" ySplit="5" topLeftCell="D48" activePane="bottomRight" state="frozen"/>
      <selection pane="topRight" activeCell="D1" sqref="D1"/>
      <selection pane="bottomLeft" activeCell="A6" sqref="A6"/>
      <selection pane="bottomRight" activeCell="C6" sqref="C6"/>
    </sheetView>
  </sheetViews>
  <sheetFormatPr defaultColWidth="8.85546875" defaultRowHeight="18" customHeight="1" x14ac:dyDescent="0.25"/>
  <cols>
    <col min="1" max="12" width="14.7109375" style="70" customWidth="1"/>
    <col min="13" max="14" width="14.7109375" style="2" customWidth="1"/>
    <col min="15" max="15" width="12.42578125" style="26" bestFit="1" customWidth="1"/>
    <col min="16" max="16384" width="8.85546875" style="2"/>
  </cols>
  <sheetData>
    <row r="1" spans="1:15" ht="30" customHeight="1" x14ac:dyDescent="0.25">
      <c r="A1" s="77" t="s">
        <v>49</v>
      </c>
      <c r="B1" s="77"/>
      <c r="C1" s="77"/>
      <c r="D1" s="77"/>
      <c r="E1" s="77"/>
      <c r="F1" s="77"/>
      <c r="G1" s="77"/>
      <c r="H1" s="77"/>
      <c r="I1" s="77"/>
      <c r="J1" s="77"/>
      <c r="K1" s="77"/>
      <c r="L1" s="77"/>
      <c r="M1" s="77"/>
      <c r="N1" s="77"/>
    </row>
    <row r="2" spans="1:15" ht="30" customHeight="1" x14ac:dyDescent="0.25">
      <c r="A2" s="77" t="s">
        <v>50</v>
      </c>
      <c r="B2" s="77"/>
      <c r="C2" s="77"/>
      <c r="D2" s="77"/>
      <c r="E2" s="77"/>
      <c r="F2" s="77"/>
      <c r="G2" s="77"/>
      <c r="H2" s="77"/>
      <c r="I2" s="77"/>
      <c r="J2" s="77"/>
      <c r="K2" s="77"/>
      <c r="L2" s="77"/>
      <c r="M2" s="77"/>
      <c r="N2" s="77"/>
    </row>
    <row r="3" spans="1:15" s="25" customFormat="1" ht="18.600000000000001" customHeight="1" thickBot="1" x14ac:dyDescent="0.3">
      <c r="A3" s="4" t="s">
        <v>52</v>
      </c>
      <c r="B3" s="24"/>
      <c r="C3" s="24"/>
      <c r="D3" s="24"/>
      <c r="E3" s="24"/>
      <c r="F3" s="24"/>
      <c r="G3" s="24"/>
      <c r="H3" s="24"/>
      <c r="I3" s="24"/>
      <c r="J3" s="24"/>
      <c r="K3" s="24"/>
      <c r="L3" s="24"/>
      <c r="O3" s="26"/>
    </row>
    <row r="4" spans="1:15" s="26" customFormat="1" ht="18" customHeight="1" thickBot="1" x14ac:dyDescent="0.3">
      <c r="A4" s="78" t="s">
        <v>30</v>
      </c>
      <c r="B4" s="80" t="s">
        <v>29</v>
      </c>
      <c r="C4" s="81"/>
      <c r="D4" s="81"/>
      <c r="E4" s="81"/>
      <c r="F4" s="81"/>
      <c r="G4" s="82"/>
      <c r="H4" s="83" t="s">
        <v>28</v>
      </c>
      <c r="I4" s="83"/>
      <c r="J4" s="83"/>
      <c r="K4" s="83"/>
      <c r="L4" s="83"/>
      <c r="M4" s="84" t="s">
        <v>27</v>
      </c>
      <c r="N4" s="86" t="s">
        <v>26</v>
      </c>
    </row>
    <row r="5" spans="1:15" s="32" customFormat="1" ht="36" customHeight="1" thickBot="1" x14ac:dyDescent="0.3">
      <c r="A5" s="79"/>
      <c r="B5" s="27" t="s">
        <v>25</v>
      </c>
      <c r="C5" s="28" t="s">
        <v>31</v>
      </c>
      <c r="D5" s="27" t="s">
        <v>13</v>
      </c>
      <c r="E5" s="28" t="s">
        <v>11</v>
      </c>
      <c r="F5" s="27" t="s">
        <v>18</v>
      </c>
      <c r="G5" s="28" t="s">
        <v>24</v>
      </c>
      <c r="H5" s="29" t="s">
        <v>23</v>
      </c>
      <c r="I5" s="30" t="s">
        <v>22</v>
      </c>
      <c r="J5" s="31" t="s">
        <v>21</v>
      </c>
      <c r="K5" s="28" t="s">
        <v>20</v>
      </c>
      <c r="L5" s="27" t="s">
        <v>19</v>
      </c>
      <c r="M5" s="85"/>
      <c r="N5" s="87"/>
    </row>
    <row r="6" spans="1:15" s="26" customFormat="1" ht="18" customHeight="1" x14ac:dyDescent="0.25">
      <c r="A6" s="33">
        <v>1</v>
      </c>
      <c r="B6" s="35">
        <f>'Input &amp; Output Fields'!$C$5</f>
        <v>1000000</v>
      </c>
      <c r="C6" s="34">
        <f>'Input &amp; Output Fields'!$C$7</f>
        <v>1200000</v>
      </c>
      <c r="D6" s="35">
        <f>IF(A6="NA","NA",IF('Input &amp; Output Fields'!$C$8="Lumpsum",((B6+C6)*'Input &amp; Output Fields'!$C$11),(FV('Input &amp; Output Fields'!$C$11/12,12,-$C6/12,-$B6,1)-($B6+$C6))))</f>
        <v>268449.40803267248</v>
      </c>
      <c r="E6" s="34">
        <f>IF(A6="NA","NA",0)</f>
        <v>0</v>
      </c>
      <c r="F6" s="36">
        <f>IF(A6="NA","NA",B6+C6+D6-E6)</f>
        <v>2468449.4080326725</v>
      </c>
      <c r="G6" s="37">
        <f>IF(A6="NA","NA",F6-B6*0+E6)</f>
        <v>2468449.4080326725</v>
      </c>
      <c r="H6" s="38">
        <f>IF(A6="NA","NA",IF(F6&lt;10^7,G6*$C$59,G6*$C$60))</f>
        <v>49368.988160653447</v>
      </c>
      <c r="I6" s="39">
        <f>IF(A6="NA","NA",$O$59)</f>
        <v>25000</v>
      </c>
      <c r="J6" s="40">
        <f>IF(B6="NA","NA",$O$60)</f>
        <v>150000</v>
      </c>
      <c r="K6" s="37">
        <f>IF(A6="NA","NA",ROUND(IF(H6&lt;I6,I6,MIN(H6,J6)),-2))</f>
        <v>49400</v>
      </c>
      <c r="L6" s="41">
        <f>IF(A6="NA","NA",K6/F6)</f>
        <v>2.0012563287400437E-2</v>
      </c>
      <c r="M6" s="42">
        <f t="shared" ref="M6:M51" si="0">IF(A6="NA","NA",ROUND(F6*$C$60,-3))</f>
        <v>25000</v>
      </c>
      <c r="N6" s="43">
        <f>IF(A6="NA","NA",K6/M6)</f>
        <v>1.976</v>
      </c>
    </row>
    <row r="7" spans="1:15" s="26" customFormat="1" ht="18" customHeight="1" x14ac:dyDescent="0.25">
      <c r="A7" s="44">
        <f>IF(A6&lt;'Input &amp; Output Fields'!$C$10,'Detailed Calculator'!A6+1,"NA")</f>
        <v>2</v>
      </c>
      <c r="B7" s="45">
        <f>IF(A7="NA","NA",F6)</f>
        <v>2468449.4080326725</v>
      </c>
      <c r="C7" s="46">
        <f>IF(A7="NA","NA",IF('Input &amp; Output Fields'!C6="Annual",C6*(1+'Input &amp; Output Fields'!$C$9),0))</f>
        <v>1320000</v>
      </c>
      <c r="D7" s="35">
        <f>IF(A7="NA","NA",IF('Input &amp; Output Fields'!$C$8="Lumpsum",((B7+C7)*'Input &amp; Output Fields'!$C$11),(FV('Input &amp; Output Fields'!$C$11/12,12,-$C7/12,-$B7,1)-($B7+$C7))))</f>
        <v>519991.64083453733</v>
      </c>
      <c r="E7" s="34">
        <f t="shared" ref="E7" si="1">IF(A7="NA","NA",0)</f>
        <v>0</v>
      </c>
      <c r="F7" s="36">
        <f t="shared" ref="F7:F44" si="2">IF(A7="NA","NA",B7+C7+D7-E7)</f>
        <v>4308441.0488672098</v>
      </c>
      <c r="G7" s="37">
        <f t="shared" ref="G7:G44" si="3">IF(A7="NA","NA",F7-B7+E7)</f>
        <v>1839991.6408345373</v>
      </c>
      <c r="H7" s="38">
        <f t="shared" ref="H7:H55" si="4">IF(A7="NA","NA",IF(F7&lt;10^7,G7*$C$59,G7*$C$60))</f>
        <v>36799.832816690745</v>
      </c>
      <c r="I7" s="47">
        <f t="shared" ref="I7:I55" si="5">IF(A7="NA","NA",$O$59)</f>
        <v>25000</v>
      </c>
      <c r="J7" s="48">
        <f t="shared" ref="J7:J55" si="6">IF(B7="NA","NA",$O$60)</f>
        <v>150000</v>
      </c>
      <c r="K7" s="37">
        <f t="shared" ref="K7:K55" si="7">IF(A7="NA","NA",ROUND(IF(H7&lt;I7,I7,MIN(H7,J7)),-2))</f>
        <v>36800</v>
      </c>
      <c r="L7" s="41">
        <f t="shared" ref="L7:L44" si="8">IF(A7="NA","NA",K7/F7)</f>
        <v>8.541372524912598E-3</v>
      </c>
      <c r="M7" s="42">
        <f t="shared" si="0"/>
        <v>43000</v>
      </c>
      <c r="N7" s="43">
        <f t="shared" ref="N7:N44" si="9">IF(A7="NA","NA",K7/M7)</f>
        <v>0.85581395348837208</v>
      </c>
    </row>
    <row r="8" spans="1:15" s="26" customFormat="1" ht="18" customHeight="1" x14ac:dyDescent="0.25">
      <c r="A8" s="44">
        <f>IF(A7&lt;'Input &amp; Output Fields'!$C$10,'Detailed Calculator'!A7+1,"NA")</f>
        <v>3</v>
      </c>
      <c r="B8" s="45">
        <f t="shared" ref="B8:B44" si="10">IF(A8="NA","NA",F7)</f>
        <v>4308441.0488672098</v>
      </c>
      <c r="C8" s="46">
        <f>IF(A8="NA","NA",C7*(1+'Input &amp; Output Fields'!$C$9))</f>
        <v>1452000.0000000002</v>
      </c>
      <c r="D8" s="35">
        <f>IF(A8="NA","NA",IF('Input &amp; Output Fields'!$C$8="Lumpsum",((B8+C8)*'Input &amp; Output Fields'!$C$11),(FV('Input &amp; Output Fields'!$C$11/12,12,-$C8/12,-$B8,1)-($B8+$C8))))</f>
        <v>833583.04731456283</v>
      </c>
      <c r="E8" s="34">
        <f>IF(A8="NA","NA",0)</f>
        <v>0</v>
      </c>
      <c r="F8" s="36">
        <f t="shared" si="2"/>
        <v>6594024.0961817726</v>
      </c>
      <c r="G8" s="37">
        <f t="shared" si="3"/>
        <v>2285583.0473145628</v>
      </c>
      <c r="H8" s="38">
        <f t="shared" si="4"/>
        <v>45711.66094629126</v>
      </c>
      <c r="I8" s="47">
        <f t="shared" si="5"/>
        <v>25000</v>
      </c>
      <c r="J8" s="48">
        <f t="shared" si="6"/>
        <v>150000</v>
      </c>
      <c r="K8" s="37">
        <f t="shared" si="7"/>
        <v>45700</v>
      </c>
      <c r="L8" s="41">
        <f t="shared" si="8"/>
        <v>6.9305175918999585E-3</v>
      </c>
      <c r="M8" s="42">
        <f t="shared" si="0"/>
        <v>66000</v>
      </c>
      <c r="N8" s="43">
        <f t="shared" si="9"/>
        <v>0.69242424242424239</v>
      </c>
    </row>
    <row r="9" spans="1:15" s="26" customFormat="1" ht="18" customHeight="1" x14ac:dyDescent="0.25">
      <c r="A9" s="44">
        <f>IF(A8&lt;'Input &amp; Output Fields'!$C$10,'Detailed Calculator'!A8+1,"NA")</f>
        <v>4</v>
      </c>
      <c r="B9" s="45">
        <f t="shared" si="10"/>
        <v>6594024.0961817726</v>
      </c>
      <c r="C9" s="46">
        <f>IF(A9="NA","NA",C8*(1+'Input &amp; Output Fields'!$C$9))</f>
        <v>1597200.0000000005</v>
      </c>
      <c r="D9" s="35">
        <f>IF(A9="NA","NA",IF('Input &amp; Output Fields'!$C$8="Lumpsum",((B9+C9)*'Input &amp; Output Fields'!$C$11),(FV('Input &amp; Output Fields'!$C$11/12,12,-$C9/12,-$B9,1)-($B9+$C9))))</f>
        <v>1221486.6390559487</v>
      </c>
      <c r="E9" s="46">
        <f>IF(A9="NA","NA",F8*'Input &amp; Output Fields'!$C$12)</f>
        <v>1648506.0240454432</v>
      </c>
      <c r="F9" s="36">
        <f t="shared" si="2"/>
        <v>7764204.7111922782</v>
      </c>
      <c r="G9" s="37">
        <f t="shared" si="3"/>
        <v>2818686.6390559487</v>
      </c>
      <c r="H9" s="38">
        <f t="shared" si="4"/>
        <v>56373.732781118975</v>
      </c>
      <c r="I9" s="47">
        <f t="shared" si="5"/>
        <v>25000</v>
      </c>
      <c r="J9" s="48">
        <f t="shared" si="6"/>
        <v>150000</v>
      </c>
      <c r="K9" s="37">
        <f t="shared" si="7"/>
        <v>56400</v>
      </c>
      <c r="L9" s="41">
        <f t="shared" si="8"/>
        <v>7.2641052236423025E-3</v>
      </c>
      <c r="M9" s="42">
        <f t="shared" si="0"/>
        <v>78000</v>
      </c>
      <c r="N9" s="43">
        <f t="shared" si="9"/>
        <v>0.72307692307692306</v>
      </c>
    </row>
    <row r="10" spans="1:15" s="26" customFormat="1" ht="18" customHeight="1" x14ac:dyDescent="0.25">
      <c r="A10" s="44">
        <f>IF(A9&lt;'Input &amp; Output Fields'!$C$10,'Detailed Calculator'!A9+1,"NA")</f>
        <v>5</v>
      </c>
      <c r="B10" s="45">
        <f t="shared" si="10"/>
        <v>7764204.7111922782</v>
      </c>
      <c r="C10" s="46">
        <f>IF(A10="NA","NA",C9*(1+'Input &amp; Output Fields'!$C$9))</f>
        <v>1756920.0000000007</v>
      </c>
      <c r="D10" s="35">
        <f>IF(A10="NA","NA",IF('Input &amp; Output Fields'!$C$8="Lumpsum",((B10+C10)*'Input &amp; Output Fields'!$C$11),(FV('Input &amp; Output Fields'!$C$11/12,12,-$C10/12,-$B10,1)-($B10+$C10))))</f>
        <v>1427504.3001563754</v>
      </c>
      <c r="E10" s="34">
        <f>IF(A10="NA","NA",0)</f>
        <v>0</v>
      </c>
      <c r="F10" s="36">
        <f t="shared" si="2"/>
        <v>10948629.011348654</v>
      </c>
      <c r="G10" s="37">
        <f t="shared" si="3"/>
        <v>3184424.3001563754</v>
      </c>
      <c r="H10" s="38">
        <f t="shared" si="4"/>
        <v>31844.243001563755</v>
      </c>
      <c r="I10" s="47">
        <f t="shared" si="5"/>
        <v>25000</v>
      </c>
      <c r="J10" s="48">
        <f t="shared" si="6"/>
        <v>150000</v>
      </c>
      <c r="K10" s="37">
        <f t="shared" si="7"/>
        <v>31800</v>
      </c>
      <c r="L10" s="41">
        <f t="shared" si="8"/>
        <v>2.9044732419957003E-3</v>
      </c>
      <c r="M10" s="42">
        <f t="shared" si="0"/>
        <v>109000</v>
      </c>
      <c r="N10" s="43">
        <f t="shared" si="9"/>
        <v>0.29174311926605506</v>
      </c>
    </row>
    <row r="11" spans="1:15" s="26" customFormat="1" ht="18" customHeight="1" x14ac:dyDescent="0.25">
      <c r="A11" s="44">
        <f>IF(A10&lt;'Input &amp; Output Fields'!$C$10,'Detailed Calculator'!A10+1,"NA")</f>
        <v>6</v>
      </c>
      <c r="B11" s="45">
        <f t="shared" si="10"/>
        <v>10948629.011348654</v>
      </c>
      <c r="C11" s="46">
        <f>IF(A11="NA","NA",C10*(1+'Input &amp; Output Fields'!$C$9))</f>
        <v>1932612.0000000009</v>
      </c>
      <c r="D11" s="35">
        <f>IF(A11="NA","NA",IF('Input &amp; Output Fields'!$C$8="Lumpsum",((B11+C11)*'Input &amp; Output Fields'!$C$11),(FV('Input &amp; Output Fields'!$C$11/12,12,-$C11/12,-$B11,1)-($B11+$C11))))</f>
        <v>1965645.2622083854</v>
      </c>
      <c r="E11" s="34">
        <f>IF(A11="NA","NA",0)</f>
        <v>0</v>
      </c>
      <c r="F11" s="36">
        <f t="shared" si="2"/>
        <v>14846886.273557039</v>
      </c>
      <c r="G11" s="37">
        <f t="shared" si="3"/>
        <v>3898257.2622083854</v>
      </c>
      <c r="H11" s="38">
        <f t="shared" si="4"/>
        <v>38982.572622083855</v>
      </c>
      <c r="I11" s="47">
        <f t="shared" si="5"/>
        <v>25000</v>
      </c>
      <c r="J11" s="48">
        <f t="shared" si="6"/>
        <v>150000</v>
      </c>
      <c r="K11" s="37">
        <f t="shared" si="7"/>
        <v>39000</v>
      </c>
      <c r="L11" s="41">
        <f t="shared" si="8"/>
        <v>2.6268134126857779E-3</v>
      </c>
      <c r="M11" s="42">
        <f t="shared" si="0"/>
        <v>148000</v>
      </c>
      <c r="N11" s="43">
        <f t="shared" si="9"/>
        <v>0.26351351351351349</v>
      </c>
    </row>
    <row r="12" spans="1:15" s="26" customFormat="1" ht="18" customHeight="1" x14ac:dyDescent="0.25">
      <c r="A12" s="44">
        <f>IF(A11&lt;'Input &amp; Output Fields'!$C$10,'Detailed Calculator'!A11+1,"NA")</f>
        <v>7</v>
      </c>
      <c r="B12" s="45">
        <f t="shared" si="10"/>
        <v>14846886.273557039</v>
      </c>
      <c r="C12" s="46">
        <f>IF(A12="NA","NA",C11*(1+'Input &amp; Output Fields'!$C$9))</f>
        <v>2125873.2000000011</v>
      </c>
      <c r="D12" s="35">
        <f>IF(A12="NA","NA",IF('Input &amp; Output Fields'!$C$8="Lumpsum",((B12+C12)*'Input &amp; Output Fields'!$C$11),(FV('Input &amp; Output Fields'!$C$11/12,12,-$C12/12,-$B12,1)-($B12+$C12))))</f>
        <v>2622522.8388348967</v>
      </c>
      <c r="E12" s="46">
        <f>IF(A12="NA","NA",F11*'Input &amp; Output Fields'!$C$12)</f>
        <v>3711721.5683892597</v>
      </c>
      <c r="F12" s="36">
        <f t="shared" si="2"/>
        <v>15883560.744002678</v>
      </c>
      <c r="G12" s="37">
        <f t="shared" si="3"/>
        <v>4748396.0388348978</v>
      </c>
      <c r="H12" s="38">
        <f t="shared" si="4"/>
        <v>47483.960388348976</v>
      </c>
      <c r="I12" s="47">
        <f t="shared" si="5"/>
        <v>25000</v>
      </c>
      <c r="J12" s="48">
        <f t="shared" si="6"/>
        <v>150000</v>
      </c>
      <c r="K12" s="37">
        <f t="shared" si="7"/>
        <v>47500</v>
      </c>
      <c r="L12" s="41">
        <f t="shared" si="8"/>
        <v>2.9905133216388568E-3</v>
      </c>
      <c r="M12" s="42">
        <f t="shared" si="0"/>
        <v>159000</v>
      </c>
      <c r="N12" s="43">
        <f t="shared" si="9"/>
        <v>0.29874213836477986</v>
      </c>
    </row>
    <row r="13" spans="1:15" s="26" customFormat="1" ht="18" customHeight="1" x14ac:dyDescent="0.25">
      <c r="A13" s="44">
        <f>IF(A12&lt;'Input &amp; Output Fields'!$C$10,'Detailed Calculator'!A12+1,"NA")</f>
        <v>8</v>
      </c>
      <c r="B13" s="45">
        <f t="shared" si="10"/>
        <v>15883560.744002678</v>
      </c>
      <c r="C13" s="46">
        <f>IF(A13="NA","NA",C12*(1+'Input &amp; Output Fields'!$C$9))</f>
        <v>2338460.5200000014</v>
      </c>
      <c r="D13" s="35">
        <f>IF(A13="NA","NA",IF('Input &amp; Output Fields'!$C$8="Lumpsum",((B13+C13)*'Input &amp; Output Fields'!$C$11),(FV('Input &amp; Output Fields'!$C$11/12,12,-$C13/12,-$B13,1)-($B13+$C13))))</f>
        <v>2811211.8859309554</v>
      </c>
      <c r="E13" s="34">
        <f>IF(A13="NA","NA",0)</f>
        <v>0</v>
      </c>
      <c r="F13" s="36">
        <f t="shared" si="2"/>
        <v>21033233.149933636</v>
      </c>
      <c r="G13" s="37">
        <f t="shared" si="3"/>
        <v>5149672.4059309587</v>
      </c>
      <c r="H13" s="38">
        <f t="shared" si="4"/>
        <v>51496.724059309585</v>
      </c>
      <c r="I13" s="47">
        <f t="shared" si="5"/>
        <v>25000</v>
      </c>
      <c r="J13" s="48">
        <f t="shared" si="6"/>
        <v>150000</v>
      </c>
      <c r="K13" s="37">
        <f t="shared" si="7"/>
        <v>51500</v>
      </c>
      <c r="L13" s="41">
        <f t="shared" si="8"/>
        <v>2.4485061156735428E-3</v>
      </c>
      <c r="M13" s="42">
        <f t="shared" si="0"/>
        <v>210000</v>
      </c>
      <c r="N13" s="43">
        <f t="shared" si="9"/>
        <v>0.24523809523809523</v>
      </c>
    </row>
    <row r="14" spans="1:15" s="26" customFormat="1" ht="18" customHeight="1" x14ac:dyDescent="0.25">
      <c r="A14" s="44">
        <f>IF(A13&lt;'Input &amp; Output Fields'!$C$10,'Detailed Calculator'!A13+1,"NA")</f>
        <v>9</v>
      </c>
      <c r="B14" s="45">
        <f t="shared" si="10"/>
        <v>21033233.149933636</v>
      </c>
      <c r="C14" s="46">
        <f>IF(A14="NA","NA",C13*(1+'Input &amp; Output Fields'!$C$9))</f>
        <v>2572306.5720000016</v>
      </c>
      <c r="D14" s="35">
        <f>IF(A14="NA","NA",IF('Input &amp; Output Fields'!$C$8="Lumpsum",((B14+C14)*'Input &amp; Output Fields'!$C$11),(FV('Input &amp; Output Fields'!$C$11/12,12,-$C14/12,-$B14,1)-($B14+$C14))))</f>
        <v>3677095.7489408888</v>
      </c>
      <c r="E14" s="34">
        <f>IF(A14="NA","NA",0)</f>
        <v>0</v>
      </c>
      <c r="F14" s="36">
        <f t="shared" si="2"/>
        <v>27282635.470874526</v>
      </c>
      <c r="G14" s="37">
        <f t="shared" si="3"/>
        <v>6249402.3209408894</v>
      </c>
      <c r="H14" s="38">
        <f t="shared" si="4"/>
        <v>62494.023209408893</v>
      </c>
      <c r="I14" s="47">
        <f t="shared" si="5"/>
        <v>25000</v>
      </c>
      <c r="J14" s="48">
        <f t="shared" si="6"/>
        <v>150000</v>
      </c>
      <c r="K14" s="37">
        <f t="shared" si="7"/>
        <v>62500</v>
      </c>
      <c r="L14" s="41">
        <f t="shared" si="8"/>
        <v>2.2908344051556762E-3</v>
      </c>
      <c r="M14" s="42">
        <f t="shared" si="0"/>
        <v>273000</v>
      </c>
      <c r="N14" s="43">
        <f t="shared" si="9"/>
        <v>0.22893772893772893</v>
      </c>
    </row>
    <row r="15" spans="1:15" s="26" customFormat="1" ht="18" customHeight="1" x14ac:dyDescent="0.25">
      <c r="A15" s="44">
        <f>IF(A14&lt;'Input &amp; Output Fields'!$C$10,'Detailed Calculator'!A14+1,"NA")</f>
        <v>10</v>
      </c>
      <c r="B15" s="45">
        <f t="shared" si="10"/>
        <v>27282635.470874526</v>
      </c>
      <c r="C15" s="46">
        <f>IF(A15="NA","NA",C14*(1+'Input &amp; Output Fields'!$C$9))</f>
        <v>2829537.2292000018</v>
      </c>
      <c r="D15" s="35">
        <f>IF(A15="NA","NA",IF('Input &amp; Output Fields'!$C$8="Lumpsum",((B15+C15)*'Input &amp; Output Fields'!$C$11),(FV('Input &amp; Output Fields'!$C$11/12,12,-$C15/12,-$B15,1)-($B15+$C15))))</f>
        <v>4725585.1316818483</v>
      </c>
      <c r="E15" s="46">
        <f>IF(A15="NA","NA",F14*'Input &amp; Output Fields'!$C$12)</f>
        <v>6820658.8677186314</v>
      </c>
      <c r="F15" s="36">
        <f t="shared" si="2"/>
        <v>28017098.964037746</v>
      </c>
      <c r="G15" s="37">
        <f t="shared" si="3"/>
        <v>7555122.360881852</v>
      </c>
      <c r="H15" s="38">
        <f t="shared" si="4"/>
        <v>75551.223608818516</v>
      </c>
      <c r="I15" s="47">
        <f t="shared" si="5"/>
        <v>25000</v>
      </c>
      <c r="J15" s="48">
        <f t="shared" si="6"/>
        <v>150000</v>
      </c>
      <c r="K15" s="37">
        <f t="shared" si="7"/>
        <v>75600</v>
      </c>
      <c r="L15" s="41">
        <f t="shared" si="8"/>
        <v>2.6983521776126366E-3</v>
      </c>
      <c r="M15" s="42">
        <f t="shared" si="0"/>
        <v>280000</v>
      </c>
      <c r="N15" s="43">
        <f t="shared" si="9"/>
        <v>0.27</v>
      </c>
    </row>
    <row r="16" spans="1:15" s="26" customFormat="1" ht="18" customHeight="1" x14ac:dyDescent="0.25">
      <c r="A16" s="44">
        <f>IF(A15&lt;'Input &amp; Output Fields'!$C$10,'Detailed Calculator'!A15+1,"NA")</f>
        <v>11</v>
      </c>
      <c r="B16" s="45">
        <f t="shared" si="10"/>
        <v>28017098.964037746</v>
      </c>
      <c r="C16" s="46">
        <f>IF(A16="NA","NA",C15*(1+'Input &amp; Output Fields'!$C$9))</f>
        <v>3112490.9521200024</v>
      </c>
      <c r="D16" s="35">
        <f>IF(A16="NA","NA",IF('Input &amp; Output Fields'!$C$8="Lumpsum",((B16+C16)*'Input &amp; Output Fields'!$C$11),(FV('Input &amp; Output Fields'!$C$11/12,12,-$C16/12,-$B16,1)-($B16+$C16))))</f>
        <v>4870764.7368146293</v>
      </c>
      <c r="E16" s="34">
        <f>IF(A16="NA","NA",0)</f>
        <v>0</v>
      </c>
      <c r="F16" s="36">
        <f t="shared" si="2"/>
        <v>36000354.652972378</v>
      </c>
      <c r="G16" s="37">
        <f t="shared" si="3"/>
        <v>7983255.6889346316</v>
      </c>
      <c r="H16" s="38">
        <f t="shared" si="4"/>
        <v>79832.556889346321</v>
      </c>
      <c r="I16" s="47">
        <f t="shared" si="5"/>
        <v>25000</v>
      </c>
      <c r="J16" s="48">
        <f t="shared" si="6"/>
        <v>150000</v>
      </c>
      <c r="K16" s="37">
        <f t="shared" si="7"/>
        <v>79800</v>
      </c>
      <c r="L16" s="41">
        <f t="shared" si="8"/>
        <v>2.2166448294534034E-3</v>
      </c>
      <c r="M16" s="42">
        <f t="shared" si="0"/>
        <v>360000</v>
      </c>
      <c r="N16" s="43">
        <f t="shared" si="9"/>
        <v>0.22166666666666668</v>
      </c>
    </row>
    <row r="17" spans="1:14" s="26" customFormat="1" ht="18" customHeight="1" x14ac:dyDescent="0.25">
      <c r="A17" s="44">
        <f>IF(A16&lt;'Input &amp; Output Fields'!$C$10,'Detailed Calculator'!A16+1,"NA")</f>
        <v>12</v>
      </c>
      <c r="B17" s="45">
        <f t="shared" si="10"/>
        <v>36000354.652972378</v>
      </c>
      <c r="C17" s="46">
        <f>IF(A17="NA","NA",C16*(1+'Input &amp; Output Fields'!$C$9))</f>
        <v>3423740.0473320028</v>
      </c>
      <c r="D17" s="35">
        <f>IF(A17="NA","NA",IF('Input &amp; Output Fields'!$C$8="Lumpsum",((B17+C17)*'Input &amp; Output Fields'!$C$11),(FV('Input &amp; Output Fields'!$C$11/12,12,-$C17/12,-$B17,1)-($B17+$C17))))</f>
        <v>6208643.0750839934</v>
      </c>
      <c r="E17" s="34">
        <f>IF(A17="NA","NA",0)</f>
        <v>0</v>
      </c>
      <c r="F17" s="36">
        <f t="shared" si="2"/>
        <v>45632737.775388375</v>
      </c>
      <c r="G17" s="37">
        <f t="shared" si="3"/>
        <v>9632383.1224159971</v>
      </c>
      <c r="H17" s="38">
        <f t="shared" si="4"/>
        <v>96323.831224159978</v>
      </c>
      <c r="I17" s="47">
        <f t="shared" si="5"/>
        <v>25000</v>
      </c>
      <c r="J17" s="48">
        <f t="shared" si="6"/>
        <v>150000</v>
      </c>
      <c r="K17" s="37">
        <f t="shared" si="7"/>
        <v>96300</v>
      </c>
      <c r="L17" s="41">
        <f t="shared" si="8"/>
        <v>2.1103270304316164E-3</v>
      </c>
      <c r="M17" s="42">
        <f t="shared" si="0"/>
        <v>456000</v>
      </c>
      <c r="N17" s="43">
        <f t="shared" si="9"/>
        <v>0.21118421052631578</v>
      </c>
    </row>
    <row r="18" spans="1:14" s="26" customFormat="1" ht="18" customHeight="1" x14ac:dyDescent="0.25">
      <c r="A18" s="44">
        <f>IF(A17&lt;'Input &amp; Output Fields'!$C$10,'Detailed Calculator'!A17+1,"NA")</f>
        <v>13</v>
      </c>
      <c r="B18" s="45">
        <f t="shared" si="10"/>
        <v>45632737.775388375</v>
      </c>
      <c r="C18" s="46">
        <f>IF(A18="NA","NA",C17*(1+'Input &amp; Output Fields'!$C$9))</f>
        <v>3766114.0520652034</v>
      </c>
      <c r="D18" s="35">
        <f>IF(A18="NA","NA",IF('Input &amp; Output Fields'!$C$8="Lumpsum",((B18+C18)*'Input &amp; Output Fields'!$C$11),(FV('Input &amp; Output Fields'!$C$11/12,12,-$C18/12,-$B18,1)-($B18+$C18))))</f>
        <v>7820009.6072214469</v>
      </c>
      <c r="E18" s="46">
        <f>IF(A18="NA","NA",F17*'Input &amp; Output Fields'!$C$12)</f>
        <v>11408184.443847094</v>
      </c>
      <c r="F18" s="36">
        <f t="shared" si="2"/>
        <v>45810676.990827933</v>
      </c>
      <c r="G18" s="37">
        <f t="shared" si="3"/>
        <v>11586123.659286652</v>
      </c>
      <c r="H18" s="38">
        <f t="shared" si="4"/>
        <v>115861.23659286652</v>
      </c>
      <c r="I18" s="47">
        <f t="shared" si="5"/>
        <v>25000</v>
      </c>
      <c r="J18" s="48">
        <f t="shared" si="6"/>
        <v>150000</v>
      </c>
      <c r="K18" s="37">
        <f t="shared" si="7"/>
        <v>115900</v>
      </c>
      <c r="L18" s="41">
        <f t="shared" si="8"/>
        <v>2.5299778919050928E-3</v>
      </c>
      <c r="M18" s="42">
        <f t="shared" si="0"/>
        <v>458000</v>
      </c>
      <c r="N18" s="43">
        <f t="shared" si="9"/>
        <v>0.25305676855895198</v>
      </c>
    </row>
    <row r="19" spans="1:14" s="26" customFormat="1" ht="18" customHeight="1" x14ac:dyDescent="0.25">
      <c r="A19" s="44">
        <f>IF(A18&lt;'Input &amp; Output Fields'!$C$10,'Detailed Calculator'!A18+1,"NA")</f>
        <v>14</v>
      </c>
      <c r="B19" s="45">
        <f t="shared" si="10"/>
        <v>45810676.990827933</v>
      </c>
      <c r="C19" s="46">
        <f>IF(A19="NA","NA",C18*(1+'Input &amp; Output Fields'!$C$9))</f>
        <v>4142725.457271724</v>
      </c>
      <c r="D19" s="35">
        <f>IF(A19="NA","NA",IF('Input &amp; Output Fields'!$C$8="Lumpsum",((B19+C19)*'Input &amp; Output Fields'!$C$11),(FV('Input &amp; Output Fields'!$C$11/12,12,-$C19/12,-$B19,1)-($B19+$C19))))</f>
        <v>7881945.3650741875</v>
      </c>
      <c r="E19" s="34">
        <f>IF(A19="NA","NA",0)</f>
        <v>0</v>
      </c>
      <c r="F19" s="36">
        <f t="shared" si="2"/>
        <v>57835347.813173845</v>
      </c>
      <c r="G19" s="37">
        <f t="shared" si="3"/>
        <v>12024670.822345912</v>
      </c>
      <c r="H19" s="38">
        <f t="shared" si="4"/>
        <v>120246.70822345912</v>
      </c>
      <c r="I19" s="47">
        <f t="shared" si="5"/>
        <v>25000</v>
      </c>
      <c r="J19" s="48">
        <f t="shared" si="6"/>
        <v>150000</v>
      </c>
      <c r="K19" s="37">
        <f t="shared" si="7"/>
        <v>120200</v>
      </c>
      <c r="L19" s="41">
        <f t="shared" si="8"/>
        <v>2.0783137742731894E-3</v>
      </c>
      <c r="M19" s="42">
        <f t="shared" si="0"/>
        <v>578000</v>
      </c>
      <c r="N19" s="43">
        <f t="shared" si="9"/>
        <v>0.20795847750865051</v>
      </c>
    </row>
    <row r="20" spans="1:14" s="26" customFormat="1" ht="18" customHeight="1" x14ac:dyDescent="0.25">
      <c r="A20" s="44">
        <f>IF(A19&lt;'Input &amp; Output Fields'!$C$10,'Detailed Calculator'!A19+1,"NA")</f>
        <v>15</v>
      </c>
      <c r="B20" s="45">
        <f t="shared" si="10"/>
        <v>57835347.813173845</v>
      </c>
      <c r="C20" s="46">
        <f>IF(A20="NA","NA",C19*(1+'Input &amp; Output Fields'!$C$9))</f>
        <v>4556998.0029988969</v>
      </c>
      <c r="D20" s="35">
        <f>IF(A20="NA","NA",IF('Input &amp; Output Fields'!$C$8="Lumpsum",((B20+C20)*'Input &amp; Output Fields'!$C$11),(FV('Input &amp; Output Fields'!$C$11/12,12,-$C20/12,-$B20,1)-($B20+$C20))))</f>
        <v>9892368.1072366759</v>
      </c>
      <c r="E20" s="34">
        <f>IF(A20="NA","NA",0)</f>
        <v>0</v>
      </c>
      <c r="F20" s="36">
        <f t="shared" si="2"/>
        <v>72284713.923409417</v>
      </c>
      <c r="G20" s="37">
        <f t="shared" si="3"/>
        <v>14449366.110235572</v>
      </c>
      <c r="H20" s="38">
        <f t="shared" si="4"/>
        <v>144493.66110235572</v>
      </c>
      <c r="I20" s="47">
        <f t="shared" si="5"/>
        <v>25000</v>
      </c>
      <c r="J20" s="48">
        <f t="shared" si="6"/>
        <v>150000</v>
      </c>
      <c r="K20" s="37">
        <f t="shared" si="7"/>
        <v>144500</v>
      </c>
      <c r="L20" s="41">
        <f t="shared" si="8"/>
        <v>1.9990395224238917E-3</v>
      </c>
      <c r="M20" s="42">
        <f t="shared" si="0"/>
        <v>723000</v>
      </c>
      <c r="N20" s="43">
        <f t="shared" si="9"/>
        <v>0.19986168741355465</v>
      </c>
    </row>
    <row r="21" spans="1:14" s="26" customFormat="1" ht="18" customHeight="1" x14ac:dyDescent="0.25">
      <c r="A21" s="44">
        <f>IF(A20&lt;'Input &amp; Output Fields'!$C$10,'Detailed Calculator'!A20+1,"NA")</f>
        <v>16</v>
      </c>
      <c r="B21" s="45">
        <f t="shared" si="10"/>
        <v>72284713.923409417</v>
      </c>
      <c r="C21" s="46">
        <f>IF(A21="NA","NA",C20*(1+'Input &amp; Output Fields'!$C$9))</f>
        <v>5012697.8032987872</v>
      </c>
      <c r="D21" s="35">
        <f>IF(A21="NA","NA",IF('Input &amp; Output Fields'!$C$8="Lumpsum",((B21+C21)*'Input &amp; Output Fields'!$C$11),(FV('Input &amp; Output Fields'!$C$11/12,12,-$C21/12,-$B21,1)-($B21+$C21))))</f>
        <v>12304521.118657783</v>
      </c>
      <c r="E21" s="46">
        <f>IF(A21="NA","NA",F20*'Input &amp; Output Fields'!$C$12)</f>
        <v>18071178.480852354</v>
      </c>
      <c r="F21" s="36">
        <f t="shared" si="2"/>
        <v>71530754.364513636</v>
      </c>
      <c r="G21" s="37">
        <f t="shared" si="3"/>
        <v>17317218.921956573</v>
      </c>
      <c r="H21" s="38">
        <f t="shared" si="4"/>
        <v>173172.18921956574</v>
      </c>
      <c r="I21" s="47">
        <f t="shared" si="5"/>
        <v>25000</v>
      </c>
      <c r="J21" s="48">
        <f t="shared" si="6"/>
        <v>150000</v>
      </c>
      <c r="K21" s="37">
        <f t="shared" si="7"/>
        <v>150000</v>
      </c>
      <c r="L21" s="41">
        <f t="shared" si="8"/>
        <v>2.0970001132046626E-3</v>
      </c>
      <c r="M21" s="42">
        <f t="shared" si="0"/>
        <v>715000</v>
      </c>
      <c r="N21" s="43">
        <f t="shared" si="9"/>
        <v>0.20979020979020979</v>
      </c>
    </row>
    <row r="22" spans="1:14" s="26" customFormat="1" ht="18" customHeight="1" x14ac:dyDescent="0.25">
      <c r="A22" s="44">
        <f>IF(A21&lt;'Input &amp; Output Fields'!$C$10,'Detailed Calculator'!A21+1,"NA")</f>
        <v>17</v>
      </c>
      <c r="B22" s="45">
        <f t="shared" si="10"/>
        <v>71530754.364513636</v>
      </c>
      <c r="C22" s="46">
        <f>IF(A22="NA","NA",C21*(1+'Input &amp; Output Fields'!$C$9))</f>
        <v>5513967.5836286666</v>
      </c>
      <c r="D22" s="35">
        <f>IF(A22="NA","NA",IF('Input &amp; Output Fields'!$C$8="Lumpsum",((B22+C22)*'Input &amp; Output Fields'!$C$11),(FV('Input &amp; Output Fields'!$C$11/12,12,-$C22/12,-$B22,1)-($B22+$C22))))</f>
        <v>12224270.322706714</v>
      </c>
      <c r="E22" s="34">
        <f>IF(A22="NA","NA",0)</f>
        <v>0</v>
      </c>
      <c r="F22" s="36">
        <f t="shared" si="2"/>
        <v>89268992.270849019</v>
      </c>
      <c r="G22" s="37">
        <f t="shared" si="3"/>
        <v>17738237.906335384</v>
      </c>
      <c r="H22" s="38">
        <f t="shared" si="4"/>
        <v>177382.37906335384</v>
      </c>
      <c r="I22" s="47">
        <f t="shared" si="5"/>
        <v>25000</v>
      </c>
      <c r="J22" s="48">
        <f t="shared" si="6"/>
        <v>150000</v>
      </c>
      <c r="K22" s="37">
        <f t="shared" si="7"/>
        <v>150000</v>
      </c>
      <c r="L22" s="41">
        <f t="shared" si="8"/>
        <v>1.6803147003708568E-3</v>
      </c>
      <c r="M22" s="42">
        <f t="shared" si="0"/>
        <v>893000</v>
      </c>
      <c r="N22" s="43">
        <f t="shared" si="9"/>
        <v>0.16797312430011199</v>
      </c>
    </row>
    <row r="23" spans="1:14" s="26" customFormat="1" ht="18" customHeight="1" x14ac:dyDescent="0.25">
      <c r="A23" s="44">
        <f>IF(A22&lt;'Input &amp; Output Fields'!$C$10,'Detailed Calculator'!A22+1,"NA")</f>
        <v>18</v>
      </c>
      <c r="B23" s="45">
        <f t="shared" si="10"/>
        <v>89268992.270849019</v>
      </c>
      <c r="C23" s="46">
        <f>IF(A23="NA","NA",C22*(1+'Input &amp; Output Fields'!$C$9))</f>
        <v>6065364.3419915335</v>
      </c>
      <c r="D23" s="35">
        <f>IF(A23="NA","NA",IF('Input &amp; Output Fields'!$C$8="Lumpsum",((B23+C23)*'Input &amp; Output Fields'!$C$11),(FV('Input &amp; Output Fields'!$C$11/12,12,-$C23/12,-$B23,1)-($B23+$C23))))</f>
        <v>15184764.782524794</v>
      </c>
      <c r="E23" s="34">
        <f>IF(A23="NA","NA",0)</f>
        <v>0</v>
      </c>
      <c r="F23" s="36">
        <f t="shared" si="2"/>
        <v>110519121.39536534</v>
      </c>
      <c r="G23" s="37">
        <f t="shared" si="3"/>
        <v>21250129.124516323</v>
      </c>
      <c r="H23" s="38">
        <f t="shared" si="4"/>
        <v>212501.29124516324</v>
      </c>
      <c r="I23" s="47">
        <f t="shared" si="5"/>
        <v>25000</v>
      </c>
      <c r="J23" s="48">
        <f t="shared" si="6"/>
        <v>150000</v>
      </c>
      <c r="K23" s="37">
        <f t="shared" si="7"/>
        <v>150000</v>
      </c>
      <c r="L23" s="41">
        <f t="shared" si="8"/>
        <v>1.3572312022224445E-3</v>
      </c>
      <c r="M23" s="42">
        <f t="shared" si="0"/>
        <v>1105000</v>
      </c>
      <c r="N23" s="43">
        <f t="shared" si="9"/>
        <v>0.13574660633484162</v>
      </c>
    </row>
    <row r="24" spans="1:14" s="26" customFormat="1" ht="18" customHeight="1" x14ac:dyDescent="0.25">
      <c r="A24" s="44">
        <f>IF(A23&lt;'Input &amp; Output Fields'!$C$10,'Detailed Calculator'!A23+1,"NA")</f>
        <v>19</v>
      </c>
      <c r="B24" s="45">
        <f t="shared" si="10"/>
        <v>110519121.39536534</v>
      </c>
      <c r="C24" s="46">
        <f>IF(A24="NA","NA",C23*(1+'Input &amp; Output Fields'!$C$9))</f>
        <v>6671900.776190687</v>
      </c>
      <c r="D24" s="35">
        <f>IF(A24="NA","NA",IF('Input &amp; Output Fields'!$C$8="Lumpsum",((B24+C24)*'Input &amp; Output Fields'!$C$11),(FV('Input &amp; Output Fields'!$C$11/12,12,-$C24/12,-$B24,1)-($B24+$C24))))</f>
        <v>18726696.69170168</v>
      </c>
      <c r="E24" s="46">
        <f>IF(A24="NA","NA",F23*'Input &amp; Output Fields'!$C$12)</f>
        <v>27629780.348841336</v>
      </c>
      <c r="F24" s="36">
        <f t="shared" si="2"/>
        <v>108287938.51441637</v>
      </c>
      <c r="G24" s="37">
        <f t="shared" si="3"/>
        <v>25398597.46789236</v>
      </c>
      <c r="H24" s="38">
        <f t="shared" si="4"/>
        <v>253985.97467892361</v>
      </c>
      <c r="I24" s="47">
        <f t="shared" si="5"/>
        <v>25000</v>
      </c>
      <c r="J24" s="48">
        <f t="shared" si="6"/>
        <v>150000</v>
      </c>
      <c r="K24" s="37">
        <f t="shared" si="7"/>
        <v>150000</v>
      </c>
      <c r="L24" s="41">
        <f t="shared" si="8"/>
        <v>1.385195821970796E-3</v>
      </c>
      <c r="M24" s="42">
        <f t="shared" si="0"/>
        <v>1083000</v>
      </c>
      <c r="N24" s="43">
        <f t="shared" si="9"/>
        <v>0.13850415512465375</v>
      </c>
    </row>
    <row r="25" spans="1:14" s="26" customFormat="1" ht="18" customHeight="1" x14ac:dyDescent="0.25">
      <c r="A25" s="44">
        <f>IF(A24&lt;'Input &amp; Output Fields'!$C$10,'Detailed Calculator'!A24+1,"NA")</f>
        <v>20</v>
      </c>
      <c r="B25" s="45">
        <f t="shared" si="10"/>
        <v>108287938.51441637</v>
      </c>
      <c r="C25" s="46">
        <f>IF(A25="NA","NA",C24*(1+'Input &amp; Output Fields'!$C$9))</f>
        <v>7339090.8538097562</v>
      </c>
      <c r="D25" s="35">
        <f>IF(A25="NA","NA",IF('Input &amp; Output Fields'!$C$8="Lumpsum",((B25+C25)*'Input &amp; Output Fields'!$C$11),(FV('Input &amp; Output Fields'!$C$11/12,12,-$C25/12,-$B25,1)-($B25+$C25))))</f>
        <v>18418302.55029662</v>
      </c>
      <c r="E25" s="34">
        <f>IF(A25="NA","NA",0)</f>
        <v>0</v>
      </c>
      <c r="F25" s="36">
        <f t="shared" si="2"/>
        <v>134045331.91852275</v>
      </c>
      <c r="G25" s="37">
        <f t="shared" si="3"/>
        <v>25757393.404106379</v>
      </c>
      <c r="H25" s="38">
        <f t="shared" si="4"/>
        <v>257573.9340410638</v>
      </c>
      <c r="I25" s="47">
        <f t="shared" si="5"/>
        <v>25000</v>
      </c>
      <c r="J25" s="48">
        <f t="shared" si="6"/>
        <v>150000</v>
      </c>
      <c r="K25" s="37">
        <f t="shared" si="7"/>
        <v>150000</v>
      </c>
      <c r="L25" s="41">
        <f t="shared" si="8"/>
        <v>1.1190244214634422E-3</v>
      </c>
      <c r="M25" s="42">
        <f t="shared" si="0"/>
        <v>1340000</v>
      </c>
      <c r="N25" s="43">
        <f t="shared" si="9"/>
        <v>0.11194029850746269</v>
      </c>
    </row>
    <row r="26" spans="1:14" s="26" customFormat="1" ht="18" customHeight="1" x14ac:dyDescent="0.25">
      <c r="A26" s="44" t="str">
        <f>IF(A25&lt;'Input &amp; Output Fields'!$C$10,'Detailed Calculator'!A25+1,"NA")</f>
        <v>NA</v>
      </c>
      <c r="B26" s="45" t="str">
        <f t="shared" si="10"/>
        <v>NA</v>
      </c>
      <c r="C26" s="46" t="str">
        <f>IF(A26="NA","NA",C25*(1+'Input &amp; Output Fields'!$C$9))</f>
        <v>NA</v>
      </c>
      <c r="D26" s="35" t="str">
        <f>IF(A26="NA","NA",IF('Input &amp; Output Fields'!$C$8="Lumpsum",((B26+C26)*'Input &amp; Output Fields'!$C$11),(FV('Input &amp; Output Fields'!$C$11/12,12,-$C26/12,-$B26,1)-($B26+$C26))))</f>
        <v>NA</v>
      </c>
      <c r="E26" s="34" t="str">
        <f>IF(A26="NA","NA",0)</f>
        <v>NA</v>
      </c>
      <c r="F26" s="36" t="str">
        <f t="shared" si="2"/>
        <v>NA</v>
      </c>
      <c r="G26" s="37" t="str">
        <f t="shared" si="3"/>
        <v>NA</v>
      </c>
      <c r="H26" s="38" t="str">
        <f t="shared" si="4"/>
        <v>NA</v>
      </c>
      <c r="I26" s="47" t="str">
        <f t="shared" si="5"/>
        <v>NA</v>
      </c>
      <c r="J26" s="48" t="str">
        <f t="shared" si="6"/>
        <v>NA</v>
      </c>
      <c r="K26" s="37" t="str">
        <f t="shared" si="7"/>
        <v>NA</v>
      </c>
      <c r="L26" s="41" t="str">
        <f t="shared" si="8"/>
        <v>NA</v>
      </c>
      <c r="M26" s="42" t="str">
        <f t="shared" si="0"/>
        <v>NA</v>
      </c>
      <c r="N26" s="43" t="str">
        <f t="shared" si="9"/>
        <v>NA</v>
      </c>
    </row>
    <row r="27" spans="1:14" s="26" customFormat="1" ht="18" customHeight="1" x14ac:dyDescent="0.25">
      <c r="A27" s="44" t="str">
        <f>IF(A26&lt;'Input &amp; Output Fields'!$C$10,'Detailed Calculator'!A26+1,"NA")</f>
        <v>NA</v>
      </c>
      <c r="B27" s="45" t="str">
        <f t="shared" si="10"/>
        <v>NA</v>
      </c>
      <c r="C27" s="46" t="str">
        <f>IF(A27="NA","NA",C26*(1+'Input &amp; Output Fields'!$C$9))</f>
        <v>NA</v>
      </c>
      <c r="D27" s="35" t="str">
        <f>IF(A27="NA","NA",IF('Input &amp; Output Fields'!$C$8="Lumpsum",((B27+C27)*'Input &amp; Output Fields'!$C$11),(FV('Input &amp; Output Fields'!$C$11/12,12,-$C27/12,-$B27,1)-($B27+$C27))))</f>
        <v>NA</v>
      </c>
      <c r="E27" s="46" t="str">
        <f>IF(A27="NA","NA",F26*'Input &amp; Output Fields'!$C$12)</f>
        <v>NA</v>
      </c>
      <c r="F27" s="36" t="str">
        <f t="shared" si="2"/>
        <v>NA</v>
      </c>
      <c r="G27" s="37" t="str">
        <f t="shared" si="3"/>
        <v>NA</v>
      </c>
      <c r="H27" s="38" t="str">
        <f t="shared" si="4"/>
        <v>NA</v>
      </c>
      <c r="I27" s="47" t="str">
        <f t="shared" si="5"/>
        <v>NA</v>
      </c>
      <c r="J27" s="48" t="str">
        <f t="shared" si="6"/>
        <v>NA</v>
      </c>
      <c r="K27" s="37" t="str">
        <f t="shared" si="7"/>
        <v>NA</v>
      </c>
      <c r="L27" s="41" t="str">
        <f t="shared" si="8"/>
        <v>NA</v>
      </c>
      <c r="M27" s="42" t="str">
        <f t="shared" si="0"/>
        <v>NA</v>
      </c>
      <c r="N27" s="43" t="str">
        <f t="shared" si="9"/>
        <v>NA</v>
      </c>
    </row>
    <row r="28" spans="1:14" s="26" customFormat="1" ht="18" customHeight="1" x14ac:dyDescent="0.25">
      <c r="A28" s="44" t="str">
        <f>IF(A27&lt;'Input &amp; Output Fields'!$C$10,'Detailed Calculator'!A27+1,"NA")</f>
        <v>NA</v>
      </c>
      <c r="B28" s="45" t="str">
        <f t="shared" si="10"/>
        <v>NA</v>
      </c>
      <c r="C28" s="46" t="str">
        <f>IF(A28="NA","NA",C27*(1+'Input &amp; Output Fields'!$C$9))</f>
        <v>NA</v>
      </c>
      <c r="D28" s="35" t="str">
        <f>IF(A28="NA","NA",IF('Input &amp; Output Fields'!$C$8="Lumpsum",((B28+C28)*'Input &amp; Output Fields'!$C$11),(FV('Input &amp; Output Fields'!$C$11/12,12,-$C28/12,-$B28,1)-($B28+$C28))))</f>
        <v>NA</v>
      </c>
      <c r="E28" s="34" t="str">
        <f>IF(A28="NA","NA",0)</f>
        <v>NA</v>
      </c>
      <c r="F28" s="36" t="str">
        <f t="shared" si="2"/>
        <v>NA</v>
      </c>
      <c r="G28" s="37" t="str">
        <f t="shared" si="3"/>
        <v>NA</v>
      </c>
      <c r="H28" s="38" t="str">
        <f t="shared" si="4"/>
        <v>NA</v>
      </c>
      <c r="I28" s="47" t="str">
        <f t="shared" si="5"/>
        <v>NA</v>
      </c>
      <c r="J28" s="48" t="str">
        <f t="shared" si="6"/>
        <v>NA</v>
      </c>
      <c r="K28" s="37" t="str">
        <f t="shared" si="7"/>
        <v>NA</v>
      </c>
      <c r="L28" s="41" t="str">
        <f t="shared" si="8"/>
        <v>NA</v>
      </c>
      <c r="M28" s="42" t="str">
        <f t="shared" si="0"/>
        <v>NA</v>
      </c>
      <c r="N28" s="43" t="str">
        <f t="shared" si="9"/>
        <v>NA</v>
      </c>
    </row>
    <row r="29" spans="1:14" s="26" customFormat="1" ht="18" customHeight="1" x14ac:dyDescent="0.25">
      <c r="A29" s="44" t="str">
        <f>IF(A28&lt;'Input &amp; Output Fields'!$C$10,'Detailed Calculator'!A28+1,"NA")</f>
        <v>NA</v>
      </c>
      <c r="B29" s="45" t="str">
        <f t="shared" si="10"/>
        <v>NA</v>
      </c>
      <c r="C29" s="46" t="str">
        <f>IF(A29="NA","NA",C28*(1+'Input &amp; Output Fields'!$C$9))</f>
        <v>NA</v>
      </c>
      <c r="D29" s="35" t="str">
        <f>IF(A29="NA","NA",IF('Input &amp; Output Fields'!$C$8="Lumpsum",((B29+C29)*'Input &amp; Output Fields'!$C$11),(FV('Input &amp; Output Fields'!$C$11/12,12,-$C29/12,-$B29,1)-($B29+$C29))))</f>
        <v>NA</v>
      </c>
      <c r="E29" s="34" t="str">
        <f>IF(A29="NA","NA",0)</f>
        <v>NA</v>
      </c>
      <c r="F29" s="36" t="str">
        <f t="shared" si="2"/>
        <v>NA</v>
      </c>
      <c r="G29" s="37" t="str">
        <f t="shared" si="3"/>
        <v>NA</v>
      </c>
      <c r="H29" s="38" t="str">
        <f t="shared" si="4"/>
        <v>NA</v>
      </c>
      <c r="I29" s="47" t="str">
        <f t="shared" si="5"/>
        <v>NA</v>
      </c>
      <c r="J29" s="48" t="str">
        <f t="shared" si="6"/>
        <v>NA</v>
      </c>
      <c r="K29" s="37" t="str">
        <f t="shared" si="7"/>
        <v>NA</v>
      </c>
      <c r="L29" s="41" t="str">
        <f t="shared" si="8"/>
        <v>NA</v>
      </c>
      <c r="M29" s="42" t="str">
        <f t="shared" si="0"/>
        <v>NA</v>
      </c>
      <c r="N29" s="43" t="str">
        <f t="shared" si="9"/>
        <v>NA</v>
      </c>
    </row>
    <row r="30" spans="1:14" s="26" customFormat="1" ht="18" customHeight="1" x14ac:dyDescent="0.25">
      <c r="A30" s="44" t="str">
        <f>IF(A29&lt;'Input &amp; Output Fields'!$C$10,'Detailed Calculator'!A29+1,"NA")</f>
        <v>NA</v>
      </c>
      <c r="B30" s="45" t="str">
        <f t="shared" si="10"/>
        <v>NA</v>
      </c>
      <c r="C30" s="46" t="str">
        <f>IF(A30="NA","NA",C29*(1+'Input &amp; Output Fields'!$C$9))</f>
        <v>NA</v>
      </c>
      <c r="D30" s="35" t="str">
        <f>IF(A30="NA","NA",IF('Input &amp; Output Fields'!$C$8="Lumpsum",((B30+C30)*'Input &amp; Output Fields'!$C$11),(FV('Input &amp; Output Fields'!$C$11/12,12,-$C30/12,-$B30,1)-($B30+$C30))))</f>
        <v>NA</v>
      </c>
      <c r="E30" s="46" t="str">
        <f>IF(A30="NA","NA",F29*'Input &amp; Output Fields'!$C$12)</f>
        <v>NA</v>
      </c>
      <c r="F30" s="36" t="str">
        <f t="shared" si="2"/>
        <v>NA</v>
      </c>
      <c r="G30" s="37" t="str">
        <f t="shared" si="3"/>
        <v>NA</v>
      </c>
      <c r="H30" s="38" t="str">
        <f t="shared" si="4"/>
        <v>NA</v>
      </c>
      <c r="I30" s="47" t="str">
        <f t="shared" si="5"/>
        <v>NA</v>
      </c>
      <c r="J30" s="48" t="str">
        <f t="shared" si="6"/>
        <v>NA</v>
      </c>
      <c r="K30" s="37" t="str">
        <f t="shared" si="7"/>
        <v>NA</v>
      </c>
      <c r="L30" s="41" t="str">
        <f t="shared" si="8"/>
        <v>NA</v>
      </c>
      <c r="M30" s="42" t="str">
        <f t="shared" si="0"/>
        <v>NA</v>
      </c>
      <c r="N30" s="43" t="str">
        <f t="shared" si="9"/>
        <v>NA</v>
      </c>
    </row>
    <row r="31" spans="1:14" s="26" customFormat="1" ht="18" customHeight="1" x14ac:dyDescent="0.25">
      <c r="A31" s="44" t="str">
        <f>IF(A30&lt;'Input &amp; Output Fields'!$C$10,'Detailed Calculator'!A30+1,"NA")</f>
        <v>NA</v>
      </c>
      <c r="B31" s="45" t="str">
        <f t="shared" si="10"/>
        <v>NA</v>
      </c>
      <c r="C31" s="46" t="str">
        <f>IF(A31="NA","NA",C30*(1+'Input &amp; Output Fields'!$C$9))</f>
        <v>NA</v>
      </c>
      <c r="D31" s="35" t="str">
        <f>IF(A31="NA","NA",IF('Input &amp; Output Fields'!$C$8="Lumpsum",((B31+C31)*'Input &amp; Output Fields'!$C$11),(FV('Input &amp; Output Fields'!$C$11/12,12,-$C31/12,-$B31,1)-($B31+$C31))))</f>
        <v>NA</v>
      </c>
      <c r="E31" s="34" t="str">
        <f>IF(A31="NA","NA",0)</f>
        <v>NA</v>
      </c>
      <c r="F31" s="36" t="str">
        <f t="shared" si="2"/>
        <v>NA</v>
      </c>
      <c r="G31" s="37" t="str">
        <f t="shared" si="3"/>
        <v>NA</v>
      </c>
      <c r="H31" s="38" t="str">
        <f t="shared" si="4"/>
        <v>NA</v>
      </c>
      <c r="I31" s="47" t="str">
        <f t="shared" si="5"/>
        <v>NA</v>
      </c>
      <c r="J31" s="48" t="str">
        <f t="shared" si="6"/>
        <v>NA</v>
      </c>
      <c r="K31" s="37" t="str">
        <f t="shared" si="7"/>
        <v>NA</v>
      </c>
      <c r="L31" s="41" t="str">
        <f t="shared" si="8"/>
        <v>NA</v>
      </c>
      <c r="M31" s="42" t="str">
        <f t="shared" si="0"/>
        <v>NA</v>
      </c>
      <c r="N31" s="43" t="str">
        <f t="shared" si="9"/>
        <v>NA</v>
      </c>
    </row>
    <row r="32" spans="1:14" s="26" customFormat="1" ht="18" customHeight="1" x14ac:dyDescent="0.25">
      <c r="A32" s="44" t="str">
        <f>IF(A31&lt;'Input &amp; Output Fields'!$C$10,'Detailed Calculator'!A31+1,"NA")</f>
        <v>NA</v>
      </c>
      <c r="B32" s="45" t="str">
        <f t="shared" si="10"/>
        <v>NA</v>
      </c>
      <c r="C32" s="46" t="str">
        <f>IF(A32="NA","NA",C31*(1+'Input &amp; Output Fields'!$C$9))</f>
        <v>NA</v>
      </c>
      <c r="D32" s="35" t="str">
        <f>IF(A32="NA","NA",IF('Input &amp; Output Fields'!$C$8="Lumpsum",((B32+C32)*'Input &amp; Output Fields'!$C$11),(FV('Input &amp; Output Fields'!$C$11/12,12,-$C32/12,-$B32,1)-($B32+$C32))))</f>
        <v>NA</v>
      </c>
      <c r="E32" s="34" t="str">
        <f>IF(A32="NA","NA",0)</f>
        <v>NA</v>
      </c>
      <c r="F32" s="36" t="str">
        <f t="shared" si="2"/>
        <v>NA</v>
      </c>
      <c r="G32" s="37" t="str">
        <f t="shared" si="3"/>
        <v>NA</v>
      </c>
      <c r="H32" s="38" t="str">
        <f t="shared" si="4"/>
        <v>NA</v>
      </c>
      <c r="I32" s="47" t="str">
        <f t="shared" si="5"/>
        <v>NA</v>
      </c>
      <c r="J32" s="48" t="str">
        <f t="shared" si="6"/>
        <v>NA</v>
      </c>
      <c r="K32" s="37" t="str">
        <f t="shared" si="7"/>
        <v>NA</v>
      </c>
      <c r="L32" s="41" t="str">
        <f t="shared" si="8"/>
        <v>NA</v>
      </c>
      <c r="M32" s="42" t="str">
        <f t="shared" si="0"/>
        <v>NA</v>
      </c>
      <c r="N32" s="43" t="str">
        <f t="shared" si="9"/>
        <v>NA</v>
      </c>
    </row>
    <row r="33" spans="1:14" s="26" customFormat="1" ht="18" customHeight="1" x14ac:dyDescent="0.25">
      <c r="A33" s="44" t="str">
        <f>IF(A32&lt;'Input &amp; Output Fields'!$C$10,'Detailed Calculator'!A32+1,"NA")</f>
        <v>NA</v>
      </c>
      <c r="B33" s="45" t="str">
        <f t="shared" si="10"/>
        <v>NA</v>
      </c>
      <c r="C33" s="46" t="str">
        <f>IF(A33="NA","NA",C32*(1+'Input &amp; Output Fields'!$C$9))</f>
        <v>NA</v>
      </c>
      <c r="D33" s="35" t="str">
        <f>IF(A33="NA","NA",IF('Input &amp; Output Fields'!$C$8="Lumpsum",((B33+C33)*'Input &amp; Output Fields'!$C$11),(FV('Input &amp; Output Fields'!$C$11/12,12,-$C33/12,-$B33,1)-($B33+$C33))))</f>
        <v>NA</v>
      </c>
      <c r="E33" s="46" t="str">
        <f>IF(A33="NA","NA",F32*'Input &amp; Output Fields'!$C$12)</f>
        <v>NA</v>
      </c>
      <c r="F33" s="36" t="str">
        <f t="shared" si="2"/>
        <v>NA</v>
      </c>
      <c r="G33" s="37" t="str">
        <f t="shared" si="3"/>
        <v>NA</v>
      </c>
      <c r="H33" s="38" t="str">
        <f t="shared" si="4"/>
        <v>NA</v>
      </c>
      <c r="I33" s="47" t="str">
        <f t="shared" si="5"/>
        <v>NA</v>
      </c>
      <c r="J33" s="48" t="str">
        <f t="shared" si="6"/>
        <v>NA</v>
      </c>
      <c r="K33" s="37" t="str">
        <f t="shared" si="7"/>
        <v>NA</v>
      </c>
      <c r="L33" s="41" t="str">
        <f t="shared" si="8"/>
        <v>NA</v>
      </c>
      <c r="M33" s="42" t="str">
        <f t="shared" si="0"/>
        <v>NA</v>
      </c>
      <c r="N33" s="43" t="str">
        <f t="shared" si="9"/>
        <v>NA</v>
      </c>
    </row>
    <row r="34" spans="1:14" s="26" customFormat="1" ht="18" customHeight="1" x14ac:dyDescent="0.25">
      <c r="A34" s="44" t="str">
        <f>IF(A33&lt;'Input &amp; Output Fields'!$C$10,'Detailed Calculator'!A33+1,"NA")</f>
        <v>NA</v>
      </c>
      <c r="B34" s="45" t="str">
        <f t="shared" si="10"/>
        <v>NA</v>
      </c>
      <c r="C34" s="46" t="str">
        <f>IF(A34="NA","NA",C33*(1+'Input &amp; Output Fields'!$C$9))</f>
        <v>NA</v>
      </c>
      <c r="D34" s="35" t="str">
        <f>IF(A34="NA","NA",IF('Input &amp; Output Fields'!$C$8="Lumpsum",((B34+C34)*'Input &amp; Output Fields'!$C$11),(FV('Input &amp; Output Fields'!$C$11/12,12,-$C34/12,-$B34,1)-($B34+$C34))))</f>
        <v>NA</v>
      </c>
      <c r="E34" s="34" t="str">
        <f>IF(A34="NA","NA",0)</f>
        <v>NA</v>
      </c>
      <c r="F34" s="36" t="str">
        <f t="shared" si="2"/>
        <v>NA</v>
      </c>
      <c r="G34" s="37" t="str">
        <f t="shared" si="3"/>
        <v>NA</v>
      </c>
      <c r="H34" s="38" t="str">
        <f t="shared" si="4"/>
        <v>NA</v>
      </c>
      <c r="I34" s="47" t="str">
        <f t="shared" si="5"/>
        <v>NA</v>
      </c>
      <c r="J34" s="48" t="str">
        <f t="shared" si="6"/>
        <v>NA</v>
      </c>
      <c r="K34" s="37" t="str">
        <f t="shared" si="7"/>
        <v>NA</v>
      </c>
      <c r="L34" s="41" t="str">
        <f t="shared" si="8"/>
        <v>NA</v>
      </c>
      <c r="M34" s="42" t="str">
        <f t="shared" si="0"/>
        <v>NA</v>
      </c>
      <c r="N34" s="43" t="str">
        <f t="shared" si="9"/>
        <v>NA</v>
      </c>
    </row>
    <row r="35" spans="1:14" s="26" customFormat="1" ht="18" customHeight="1" x14ac:dyDescent="0.25">
      <c r="A35" s="44" t="str">
        <f>IF(A34&lt;'Input &amp; Output Fields'!$C$10,'Detailed Calculator'!A34+1,"NA")</f>
        <v>NA</v>
      </c>
      <c r="B35" s="45" t="str">
        <f t="shared" si="10"/>
        <v>NA</v>
      </c>
      <c r="C35" s="46" t="str">
        <f>IF(A35="NA","NA",C34*(1+'Input &amp; Output Fields'!$C$9))</f>
        <v>NA</v>
      </c>
      <c r="D35" s="35" t="str">
        <f>IF(A35="NA","NA",IF('Input &amp; Output Fields'!$C$8="Lumpsum",((B35+C35)*'Input &amp; Output Fields'!$C$11),(FV('Input &amp; Output Fields'!$C$11/12,12,-$C35/12,-$B35,1)-($B35+$C35))))</f>
        <v>NA</v>
      </c>
      <c r="E35" s="34" t="str">
        <f>IF(A35="NA","NA",0)</f>
        <v>NA</v>
      </c>
      <c r="F35" s="36" t="str">
        <f t="shared" si="2"/>
        <v>NA</v>
      </c>
      <c r="G35" s="37" t="str">
        <f t="shared" si="3"/>
        <v>NA</v>
      </c>
      <c r="H35" s="38" t="str">
        <f t="shared" si="4"/>
        <v>NA</v>
      </c>
      <c r="I35" s="47" t="str">
        <f t="shared" si="5"/>
        <v>NA</v>
      </c>
      <c r="J35" s="48" t="str">
        <f t="shared" si="6"/>
        <v>NA</v>
      </c>
      <c r="K35" s="37" t="str">
        <f t="shared" si="7"/>
        <v>NA</v>
      </c>
      <c r="L35" s="41" t="str">
        <f t="shared" si="8"/>
        <v>NA</v>
      </c>
      <c r="M35" s="42" t="str">
        <f t="shared" si="0"/>
        <v>NA</v>
      </c>
      <c r="N35" s="43" t="str">
        <f t="shared" si="9"/>
        <v>NA</v>
      </c>
    </row>
    <row r="36" spans="1:14" s="26" customFormat="1" ht="18" customHeight="1" x14ac:dyDescent="0.25">
      <c r="A36" s="44" t="str">
        <f>IF(A35&lt;'Input &amp; Output Fields'!$C$10,'Detailed Calculator'!A35+1,"NA")</f>
        <v>NA</v>
      </c>
      <c r="B36" s="45" t="str">
        <f t="shared" si="10"/>
        <v>NA</v>
      </c>
      <c r="C36" s="46" t="str">
        <f>IF(A36="NA","NA",C35*(1+'Input &amp; Output Fields'!$C$9))</f>
        <v>NA</v>
      </c>
      <c r="D36" s="35" t="str">
        <f>IF(A36="NA","NA",IF('Input &amp; Output Fields'!$C$8="Lumpsum",((B36+C36)*'Input &amp; Output Fields'!$C$11),(FV('Input &amp; Output Fields'!$C$11/12,12,-$C36/12,-$B36,1)-($B36+$C36))))</f>
        <v>NA</v>
      </c>
      <c r="E36" s="46" t="str">
        <f>IF(A36="NA","NA",F35*'Input &amp; Output Fields'!$C$12)</f>
        <v>NA</v>
      </c>
      <c r="F36" s="36" t="str">
        <f t="shared" si="2"/>
        <v>NA</v>
      </c>
      <c r="G36" s="37" t="str">
        <f t="shared" si="3"/>
        <v>NA</v>
      </c>
      <c r="H36" s="38" t="str">
        <f t="shared" si="4"/>
        <v>NA</v>
      </c>
      <c r="I36" s="47" t="str">
        <f t="shared" si="5"/>
        <v>NA</v>
      </c>
      <c r="J36" s="48" t="str">
        <f t="shared" si="6"/>
        <v>NA</v>
      </c>
      <c r="K36" s="37" t="str">
        <f t="shared" si="7"/>
        <v>NA</v>
      </c>
      <c r="L36" s="41" t="str">
        <f t="shared" si="8"/>
        <v>NA</v>
      </c>
      <c r="M36" s="42" t="str">
        <f t="shared" si="0"/>
        <v>NA</v>
      </c>
      <c r="N36" s="43" t="str">
        <f t="shared" si="9"/>
        <v>NA</v>
      </c>
    </row>
    <row r="37" spans="1:14" s="26" customFormat="1" ht="18" customHeight="1" x14ac:dyDescent="0.25">
      <c r="A37" s="44" t="str">
        <f>IF(A36&lt;'Input &amp; Output Fields'!$C$10,'Detailed Calculator'!A36+1,"NA")</f>
        <v>NA</v>
      </c>
      <c r="B37" s="45" t="str">
        <f t="shared" si="10"/>
        <v>NA</v>
      </c>
      <c r="C37" s="46" t="str">
        <f>IF(A37="NA","NA",C36*(1+'Input &amp; Output Fields'!$C$9))</f>
        <v>NA</v>
      </c>
      <c r="D37" s="35" t="str">
        <f>IF(A37="NA","NA",IF('Input &amp; Output Fields'!$C$8="Lumpsum",((B37+C37)*'Input &amp; Output Fields'!$C$11),(FV('Input &amp; Output Fields'!$C$11/12,12,-$C37/12,-$B37,1)-($B37+$C37))))</f>
        <v>NA</v>
      </c>
      <c r="E37" s="34" t="str">
        <f>IF(A37="NA","NA",0)</f>
        <v>NA</v>
      </c>
      <c r="F37" s="36" t="str">
        <f t="shared" si="2"/>
        <v>NA</v>
      </c>
      <c r="G37" s="37" t="str">
        <f t="shared" si="3"/>
        <v>NA</v>
      </c>
      <c r="H37" s="38" t="str">
        <f t="shared" si="4"/>
        <v>NA</v>
      </c>
      <c r="I37" s="47" t="str">
        <f t="shared" si="5"/>
        <v>NA</v>
      </c>
      <c r="J37" s="48" t="str">
        <f t="shared" si="6"/>
        <v>NA</v>
      </c>
      <c r="K37" s="37" t="str">
        <f t="shared" si="7"/>
        <v>NA</v>
      </c>
      <c r="L37" s="41" t="str">
        <f t="shared" si="8"/>
        <v>NA</v>
      </c>
      <c r="M37" s="42" t="str">
        <f t="shared" si="0"/>
        <v>NA</v>
      </c>
      <c r="N37" s="43" t="str">
        <f t="shared" si="9"/>
        <v>NA</v>
      </c>
    </row>
    <row r="38" spans="1:14" s="26" customFormat="1" ht="18" customHeight="1" x14ac:dyDescent="0.25">
      <c r="A38" s="44" t="str">
        <f>IF(A37&lt;'Input &amp; Output Fields'!$C$10,'Detailed Calculator'!A37+1,"NA")</f>
        <v>NA</v>
      </c>
      <c r="B38" s="45" t="str">
        <f t="shared" si="10"/>
        <v>NA</v>
      </c>
      <c r="C38" s="46" t="str">
        <f>IF(A38="NA","NA",C37*(1+'Input &amp; Output Fields'!$C$9))</f>
        <v>NA</v>
      </c>
      <c r="D38" s="35" t="str">
        <f>IF(A38="NA","NA",IF('Input &amp; Output Fields'!$C$8="Lumpsum",((B38+C38)*'Input &amp; Output Fields'!$C$11),(FV('Input &amp; Output Fields'!$C$11/12,12,-$C38/12,-$B38,1)-($B38+$C38))))</f>
        <v>NA</v>
      </c>
      <c r="E38" s="34" t="str">
        <f>IF(A38="NA","NA",0)</f>
        <v>NA</v>
      </c>
      <c r="F38" s="36" t="str">
        <f t="shared" si="2"/>
        <v>NA</v>
      </c>
      <c r="G38" s="37" t="str">
        <f t="shared" si="3"/>
        <v>NA</v>
      </c>
      <c r="H38" s="38" t="str">
        <f t="shared" si="4"/>
        <v>NA</v>
      </c>
      <c r="I38" s="47" t="str">
        <f t="shared" si="5"/>
        <v>NA</v>
      </c>
      <c r="J38" s="48" t="str">
        <f t="shared" si="6"/>
        <v>NA</v>
      </c>
      <c r="K38" s="37" t="str">
        <f t="shared" si="7"/>
        <v>NA</v>
      </c>
      <c r="L38" s="41" t="str">
        <f t="shared" si="8"/>
        <v>NA</v>
      </c>
      <c r="M38" s="42" t="str">
        <f t="shared" si="0"/>
        <v>NA</v>
      </c>
      <c r="N38" s="43" t="str">
        <f t="shared" si="9"/>
        <v>NA</v>
      </c>
    </row>
    <row r="39" spans="1:14" s="26" customFormat="1" ht="18" customHeight="1" x14ac:dyDescent="0.25">
      <c r="A39" s="44" t="str">
        <f>IF(A38&lt;'Input &amp; Output Fields'!$C$10,'Detailed Calculator'!A38+1,"NA")</f>
        <v>NA</v>
      </c>
      <c r="B39" s="45" t="str">
        <f t="shared" si="10"/>
        <v>NA</v>
      </c>
      <c r="C39" s="46" t="str">
        <f>IF(A39="NA","NA",C38*(1+'Input &amp; Output Fields'!$C$9))</f>
        <v>NA</v>
      </c>
      <c r="D39" s="35" t="str">
        <f>IF(A39="NA","NA",IF('Input &amp; Output Fields'!$C$8="Lumpsum",((B39+C39)*'Input &amp; Output Fields'!$C$11),(FV('Input &amp; Output Fields'!$C$11/12,12,-$C39/12,-$B39,1)-($B39+$C39))))</f>
        <v>NA</v>
      </c>
      <c r="E39" s="46" t="str">
        <f>IF(A39="NA","NA",F38*'Input &amp; Output Fields'!$C$12)</f>
        <v>NA</v>
      </c>
      <c r="F39" s="36" t="str">
        <f t="shared" si="2"/>
        <v>NA</v>
      </c>
      <c r="G39" s="37" t="str">
        <f t="shared" si="3"/>
        <v>NA</v>
      </c>
      <c r="H39" s="38" t="str">
        <f t="shared" si="4"/>
        <v>NA</v>
      </c>
      <c r="I39" s="47" t="str">
        <f t="shared" si="5"/>
        <v>NA</v>
      </c>
      <c r="J39" s="48" t="str">
        <f t="shared" si="6"/>
        <v>NA</v>
      </c>
      <c r="K39" s="37" t="str">
        <f t="shared" si="7"/>
        <v>NA</v>
      </c>
      <c r="L39" s="41" t="str">
        <f t="shared" si="8"/>
        <v>NA</v>
      </c>
      <c r="M39" s="42" t="str">
        <f t="shared" si="0"/>
        <v>NA</v>
      </c>
      <c r="N39" s="43" t="str">
        <f t="shared" si="9"/>
        <v>NA</v>
      </c>
    </row>
    <row r="40" spans="1:14" s="26" customFormat="1" ht="18" customHeight="1" x14ac:dyDescent="0.25">
      <c r="A40" s="44" t="str">
        <f>IF(A39&lt;'Input &amp; Output Fields'!$C$10,'Detailed Calculator'!A39+1,"NA")</f>
        <v>NA</v>
      </c>
      <c r="B40" s="45" t="str">
        <f t="shared" si="10"/>
        <v>NA</v>
      </c>
      <c r="C40" s="46" t="str">
        <f>IF(A40="NA","NA",C39*(1+'Input &amp; Output Fields'!$C$9))</f>
        <v>NA</v>
      </c>
      <c r="D40" s="35" t="str">
        <f>IF(A40="NA","NA",IF('Input &amp; Output Fields'!$C$8="Lumpsum",((B40+C40)*'Input &amp; Output Fields'!$C$11),(FV('Input &amp; Output Fields'!$C$11/12,12,-$C40/12,-$B40,1)-($B40+$C40))))</f>
        <v>NA</v>
      </c>
      <c r="E40" s="34" t="str">
        <f>IF(A40="NA","NA",0)</f>
        <v>NA</v>
      </c>
      <c r="F40" s="36" t="str">
        <f t="shared" si="2"/>
        <v>NA</v>
      </c>
      <c r="G40" s="37" t="str">
        <f t="shared" si="3"/>
        <v>NA</v>
      </c>
      <c r="H40" s="38" t="str">
        <f t="shared" si="4"/>
        <v>NA</v>
      </c>
      <c r="I40" s="47" t="str">
        <f t="shared" si="5"/>
        <v>NA</v>
      </c>
      <c r="J40" s="48" t="str">
        <f t="shared" si="6"/>
        <v>NA</v>
      </c>
      <c r="K40" s="37" t="str">
        <f t="shared" si="7"/>
        <v>NA</v>
      </c>
      <c r="L40" s="41" t="str">
        <f t="shared" si="8"/>
        <v>NA</v>
      </c>
      <c r="M40" s="42" t="str">
        <f t="shared" si="0"/>
        <v>NA</v>
      </c>
      <c r="N40" s="43" t="str">
        <f t="shared" si="9"/>
        <v>NA</v>
      </c>
    </row>
    <row r="41" spans="1:14" s="26" customFormat="1" ht="18" customHeight="1" x14ac:dyDescent="0.25">
      <c r="A41" s="44" t="str">
        <f>IF(A40&lt;'Input &amp; Output Fields'!$C$10,'Detailed Calculator'!A40+1,"NA")</f>
        <v>NA</v>
      </c>
      <c r="B41" s="45" t="str">
        <f t="shared" si="10"/>
        <v>NA</v>
      </c>
      <c r="C41" s="46" t="str">
        <f>IF(A41="NA","NA",C40*(1+'Input &amp; Output Fields'!$C$9))</f>
        <v>NA</v>
      </c>
      <c r="D41" s="35" t="str">
        <f>IF(A41="NA","NA",IF('Input &amp; Output Fields'!$C$8="Lumpsum",((B41+C41)*'Input &amp; Output Fields'!$C$11),(FV('Input &amp; Output Fields'!$C$11/12,12,-$C41/12,-$B41,1)-($B41+$C41))))</f>
        <v>NA</v>
      </c>
      <c r="E41" s="34" t="str">
        <f>IF(A41="NA","NA",0)</f>
        <v>NA</v>
      </c>
      <c r="F41" s="36" t="str">
        <f t="shared" si="2"/>
        <v>NA</v>
      </c>
      <c r="G41" s="37" t="str">
        <f t="shared" si="3"/>
        <v>NA</v>
      </c>
      <c r="H41" s="38" t="str">
        <f t="shared" si="4"/>
        <v>NA</v>
      </c>
      <c r="I41" s="47" t="str">
        <f t="shared" si="5"/>
        <v>NA</v>
      </c>
      <c r="J41" s="48" t="str">
        <f t="shared" si="6"/>
        <v>NA</v>
      </c>
      <c r="K41" s="37" t="str">
        <f t="shared" si="7"/>
        <v>NA</v>
      </c>
      <c r="L41" s="41" t="str">
        <f t="shared" si="8"/>
        <v>NA</v>
      </c>
      <c r="M41" s="42" t="str">
        <f t="shared" si="0"/>
        <v>NA</v>
      </c>
      <c r="N41" s="43" t="str">
        <f t="shared" si="9"/>
        <v>NA</v>
      </c>
    </row>
    <row r="42" spans="1:14" s="26" customFormat="1" ht="18" customHeight="1" x14ac:dyDescent="0.25">
      <c r="A42" s="44" t="str">
        <f>IF(A41&lt;'Input &amp; Output Fields'!$C$10,'Detailed Calculator'!A41+1,"NA")</f>
        <v>NA</v>
      </c>
      <c r="B42" s="45" t="str">
        <f t="shared" si="10"/>
        <v>NA</v>
      </c>
      <c r="C42" s="46" t="str">
        <f>IF(A42="NA","NA",C41*(1+'Input &amp; Output Fields'!$C$9))</f>
        <v>NA</v>
      </c>
      <c r="D42" s="35" t="str">
        <f>IF(A42="NA","NA",IF('Input &amp; Output Fields'!$C$8="Lumpsum",((B42+C42)*'Input &amp; Output Fields'!$C$11),(FV('Input &amp; Output Fields'!$C$11/12,12,-$C42/12,-$B42,1)-($B42+$C42))))</f>
        <v>NA</v>
      </c>
      <c r="E42" s="46" t="str">
        <f>IF(A42="NA","NA",F41*'Input &amp; Output Fields'!$C$12)</f>
        <v>NA</v>
      </c>
      <c r="F42" s="36" t="str">
        <f t="shared" si="2"/>
        <v>NA</v>
      </c>
      <c r="G42" s="37" t="str">
        <f t="shared" si="3"/>
        <v>NA</v>
      </c>
      <c r="H42" s="38" t="str">
        <f t="shared" si="4"/>
        <v>NA</v>
      </c>
      <c r="I42" s="47" t="str">
        <f t="shared" si="5"/>
        <v>NA</v>
      </c>
      <c r="J42" s="48" t="str">
        <f t="shared" si="6"/>
        <v>NA</v>
      </c>
      <c r="K42" s="37" t="str">
        <f t="shared" si="7"/>
        <v>NA</v>
      </c>
      <c r="L42" s="41" t="str">
        <f t="shared" si="8"/>
        <v>NA</v>
      </c>
      <c r="M42" s="42" t="str">
        <f t="shared" si="0"/>
        <v>NA</v>
      </c>
      <c r="N42" s="43" t="str">
        <f t="shared" si="9"/>
        <v>NA</v>
      </c>
    </row>
    <row r="43" spans="1:14" s="26" customFormat="1" ht="18" customHeight="1" x14ac:dyDescent="0.25">
      <c r="A43" s="44" t="str">
        <f>IF(A42&lt;'Input &amp; Output Fields'!$C$10,'Detailed Calculator'!A42+1,"NA")</f>
        <v>NA</v>
      </c>
      <c r="B43" s="45" t="str">
        <f t="shared" si="10"/>
        <v>NA</v>
      </c>
      <c r="C43" s="46" t="str">
        <f>IF(A43="NA","NA",C42*(1+'Input &amp; Output Fields'!$C$9))</f>
        <v>NA</v>
      </c>
      <c r="D43" s="35" t="str">
        <f>IF(A43="NA","NA",IF('Input &amp; Output Fields'!$C$8="Lumpsum",((B43+C43)*'Input &amp; Output Fields'!$C$11),(FV('Input &amp; Output Fields'!$C$11/12,12,-$C43/12,-$B43,1)-($B43+$C43))))</f>
        <v>NA</v>
      </c>
      <c r="E43" s="34" t="str">
        <f>IF(A43="NA","NA",0)</f>
        <v>NA</v>
      </c>
      <c r="F43" s="36" t="str">
        <f t="shared" si="2"/>
        <v>NA</v>
      </c>
      <c r="G43" s="37" t="str">
        <f t="shared" si="3"/>
        <v>NA</v>
      </c>
      <c r="H43" s="38" t="str">
        <f t="shared" si="4"/>
        <v>NA</v>
      </c>
      <c r="I43" s="47" t="str">
        <f t="shared" si="5"/>
        <v>NA</v>
      </c>
      <c r="J43" s="48" t="str">
        <f t="shared" si="6"/>
        <v>NA</v>
      </c>
      <c r="K43" s="37" t="str">
        <f t="shared" si="7"/>
        <v>NA</v>
      </c>
      <c r="L43" s="41" t="str">
        <f t="shared" si="8"/>
        <v>NA</v>
      </c>
      <c r="M43" s="42" t="str">
        <f t="shared" si="0"/>
        <v>NA</v>
      </c>
      <c r="N43" s="43" t="str">
        <f t="shared" si="9"/>
        <v>NA</v>
      </c>
    </row>
    <row r="44" spans="1:14" s="26" customFormat="1" ht="18" customHeight="1" x14ac:dyDescent="0.25">
      <c r="A44" s="44" t="str">
        <f>IF(A43&lt;'Input &amp; Output Fields'!$C$10,'Detailed Calculator'!A43+1,"NA")</f>
        <v>NA</v>
      </c>
      <c r="B44" s="45" t="str">
        <f t="shared" si="10"/>
        <v>NA</v>
      </c>
      <c r="C44" s="46" t="str">
        <f>IF(A44="NA","NA",C43*(1+'Input &amp; Output Fields'!$C$9))</f>
        <v>NA</v>
      </c>
      <c r="D44" s="35" t="str">
        <f>IF(A44="NA","NA",IF('Input &amp; Output Fields'!$C$8="Lumpsum",((B44+C44)*'Input &amp; Output Fields'!$C$11),(FV('Input &amp; Output Fields'!$C$11/12,12,-$C44/12,-$B44,1)-($B44+$C44))))</f>
        <v>NA</v>
      </c>
      <c r="E44" s="34" t="str">
        <f>IF(A44="NA","NA",0)</f>
        <v>NA</v>
      </c>
      <c r="F44" s="36" t="str">
        <f t="shared" si="2"/>
        <v>NA</v>
      </c>
      <c r="G44" s="37" t="str">
        <f t="shared" si="3"/>
        <v>NA</v>
      </c>
      <c r="H44" s="38" t="str">
        <f t="shared" si="4"/>
        <v>NA</v>
      </c>
      <c r="I44" s="47" t="str">
        <f t="shared" si="5"/>
        <v>NA</v>
      </c>
      <c r="J44" s="48" t="str">
        <f t="shared" si="6"/>
        <v>NA</v>
      </c>
      <c r="K44" s="37" t="str">
        <f t="shared" si="7"/>
        <v>NA</v>
      </c>
      <c r="L44" s="41" t="str">
        <f t="shared" si="8"/>
        <v>NA</v>
      </c>
      <c r="M44" s="42" t="str">
        <f t="shared" si="0"/>
        <v>NA</v>
      </c>
      <c r="N44" s="43" t="str">
        <f t="shared" si="9"/>
        <v>NA</v>
      </c>
    </row>
    <row r="45" spans="1:14" s="26" customFormat="1" ht="18" customHeight="1" x14ac:dyDescent="0.25">
      <c r="A45" s="44" t="str">
        <f>IF(A44&lt;'Input &amp; Output Fields'!$C$10,'Detailed Calculator'!A44+1,"NA")</f>
        <v>NA</v>
      </c>
      <c r="B45" s="45" t="str">
        <f t="shared" ref="B45:B55" si="11">IF(A45="NA","NA",F44)</f>
        <v>NA</v>
      </c>
      <c r="C45" s="46" t="str">
        <f>IF(A45="NA","NA",C44*(1+'Input &amp; Output Fields'!$C$9))</f>
        <v>NA</v>
      </c>
      <c r="D45" s="35" t="str">
        <f>IF(A45="NA","NA",IF('Input &amp; Output Fields'!$C$8="Lumpsum",((B45+C45)*'Input &amp; Output Fields'!$C$11),(FV('Input &amp; Output Fields'!$C$11/12,12,-$C45/12,-$B45,1)-($B45+$C45))))</f>
        <v>NA</v>
      </c>
      <c r="E45" s="46" t="str">
        <f>IF(A45="NA","NA",F44*'Input &amp; Output Fields'!$C$12)</f>
        <v>NA</v>
      </c>
      <c r="F45" s="36" t="str">
        <f t="shared" ref="F45:F55" si="12">IF(A45="NA","NA",B45+C45+D45-E45)</f>
        <v>NA</v>
      </c>
      <c r="G45" s="37" t="str">
        <f t="shared" ref="G45:G55" si="13">IF(A45="NA","NA",F45-B45+E45)</f>
        <v>NA</v>
      </c>
      <c r="H45" s="38" t="str">
        <f t="shared" si="4"/>
        <v>NA</v>
      </c>
      <c r="I45" s="47" t="str">
        <f t="shared" si="5"/>
        <v>NA</v>
      </c>
      <c r="J45" s="48" t="str">
        <f t="shared" si="6"/>
        <v>NA</v>
      </c>
      <c r="K45" s="37" t="str">
        <f t="shared" si="7"/>
        <v>NA</v>
      </c>
      <c r="L45" s="41" t="str">
        <f t="shared" ref="L45:L55" si="14">IF(A45="NA","NA",K45/F45)</f>
        <v>NA</v>
      </c>
      <c r="M45" s="42" t="str">
        <f t="shared" si="0"/>
        <v>NA</v>
      </c>
      <c r="N45" s="43" t="str">
        <f t="shared" ref="N45:N55" si="15">IF(A45="NA","NA",K45/M45)</f>
        <v>NA</v>
      </c>
    </row>
    <row r="46" spans="1:14" s="26" customFormat="1" ht="18" customHeight="1" x14ac:dyDescent="0.25">
      <c r="A46" s="44" t="str">
        <f>IF(A45&lt;'Input &amp; Output Fields'!$C$10,'Detailed Calculator'!A45+1,"NA")</f>
        <v>NA</v>
      </c>
      <c r="B46" s="45" t="str">
        <f t="shared" si="11"/>
        <v>NA</v>
      </c>
      <c r="C46" s="46" t="str">
        <f>IF(A46="NA","NA",C45*(1+'Input &amp; Output Fields'!$C$9))</f>
        <v>NA</v>
      </c>
      <c r="D46" s="35" t="str">
        <f>IF(A46="NA","NA",IF('Input &amp; Output Fields'!$C$8="Lumpsum",((B46+C46)*'Input &amp; Output Fields'!$C$11),(FV('Input &amp; Output Fields'!$C$11/12,12,-$C46/12,-$B46,1)-($B46+$C46))))</f>
        <v>NA</v>
      </c>
      <c r="E46" s="34" t="str">
        <f t="shared" ref="E46:E55" si="16">IF(A46="NA","NA",0)</f>
        <v>NA</v>
      </c>
      <c r="F46" s="36" t="str">
        <f t="shared" si="12"/>
        <v>NA</v>
      </c>
      <c r="G46" s="37" t="str">
        <f t="shared" si="13"/>
        <v>NA</v>
      </c>
      <c r="H46" s="38" t="str">
        <f t="shared" si="4"/>
        <v>NA</v>
      </c>
      <c r="I46" s="47" t="str">
        <f t="shared" si="5"/>
        <v>NA</v>
      </c>
      <c r="J46" s="48" t="str">
        <f t="shared" si="6"/>
        <v>NA</v>
      </c>
      <c r="K46" s="37" t="str">
        <f t="shared" si="7"/>
        <v>NA</v>
      </c>
      <c r="L46" s="41" t="str">
        <f t="shared" si="14"/>
        <v>NA</v>
      </c>
      <c r="M46" s="42" t="str">
        <f t="shared" si="0"/>
        <v>NA</v>
      </c>
      <c r="N46" s="43" t="str">
        <f t="shared" si="15"/>
        <v>NA</v>
      </c>
    </row>
    <row r="47" spans="1:14" s="26" customFormat="1" ht="18" customHeight="1" x14ac:dyDescent="0.25">
      <c r="A47" s="44" t="str">
        <f>IF(A46&lt;'Input &amp; Output Fields'!$C$10,'Detailed Calculator'!A46+1,"NA")</f>
        <v>NA</v>
      </c>
      <c r="B47" s="45" t="str">
        <f t="shared" si="11"/>
        <v>NA</v>
      </c>
      <c r="C47" s="46" t="str">
        <f>IF(A47="NA","NA",C46*(1+'Input &amp; Output Fields'!$C$9))</f>
        <v>NA</v>
      </c>
      <c r="D47" s="35" t="str">
        <f>IF(A47="NA","NA",IF('Input &amp; Output Fields'!$C$8="Lumpsum",((B47+C47)*'Input &amp; Output Fields'!$C$11),(FV('Input &amp; Output Fields'!$C$11/12,12,-$C47/12,-$B47,1)-($B47+$C47))))</f>
        <v>NA</v>
      </c>
      <c r="E47" s="34" t="str">
        <f t="shared" si="16"/>
        <v>NA</v>
      </c>
      <c r="F47" s="36" t="str">
        <f t="shared" si="12"/>
        <v>NA</v>
      </c>
      <c r="G47" s="37" t="str">
        <f t="shared" si="13"/>
        <v>NA</v>
      </c>
      <c r="H47" s="38" t="str">
        <f t="shared" si="4"/>
        <v>NA</v>
      </c>
      <c r="I47" s="47" t="str">
        <f t="shared" si="5"/>
        <v>NA</v>
      </c>
      <c r="J47" s="48" t="str">
        <f t="shared" si="6"/>
        <v>NA</v>
      </c>
      <c r="K47" s="37" t="str">
        <f t="shared" si="7"/>
        <v>NA</v>
      </c>
      <c r="L47" s="41" t="str">
        <f t="shared" si="14"/>
        <v>NA</v>
      </c>
      <c r="M47" s="42" t="str">
        <f t="shared" si="0"/>
        <v>NA</v>
      </c>
      <c r="N47" s="43" t="str">
        <f t="shared" si="15"/>
        <v>NA</v>
      </c>
    </row>
    <row r="48" spans="1:14" s="26" customFormat="1" ht="18" customHeight="1" x14ac:dyDescent="0.25">
      <c r="A48" s="44" t="str">
        <f>IF(A47&lt;'Input &amp; Output Fields'!$C$10,'Detailed Calculator'!A47+1,"NA")</f>
        <v>NA</v>
      </c>
      <c r="B48" s="45" t="str">
        <f t="shared" si="11"/>
        <v>NA</v>
      </c>
      <c r="C48" s="46" t="str">
        <f>IF(A48="NA","NA",C47*(1+'Input &amp; Output Fields'!$C$9))</f>
        <v>NA</v>
      </c>
      <c r="D48" s="35" t="str">
        <f>IF(A48="NA","NA",IF('Input &amp; Output Fields'!$C$8="Lumpsum",((B48+C48)*'Input &amp; Output Fields'!$C$11),(FV('Input &amp; Output Fields'!$C$11/12,12,-$C48/12,-$B48,1)-($B48+$C48))))</f>
        <v>NA</v>
      </c>
      <c r="E48" s="46" t="str">
        <f>IF(A48="NA","NA",F47*'Input &amp; Output Fields'!$C$12)</f>
        <v>NA</v>
      </c>
      <c r="F48" s="36" t="str">
        <f t="shared" si="12"/>
        <v>NA</v>
      </c>
      <c r="G48" s="37" t="str">
        <f t="shared" si="13"/>
        <v>NA</v>
      </c>
      <c r="H48" s="38" t="str">
        <f t="shared" si="4"/>
        <v>NA</v>
      </c>
      <c r="I48" s="47" t="str">
        <f t="shared" si="5"/>
        <v>NA</v>
      </c>
      <c r="J48" s="48" t="str">
        <f t="shared" si="6"/>
        <v>NA</v>
      </c>
      <c r="K48" s="37" t="str">
        <f t="shared" si="7"/>
        <v>NA</v>
      </c>
      <c r="L48" s="41" t="str">
        <f t="shared" si="14"/>
        <v>NA</v>
      </c>
      <c r="M48" s="42" t="str">
        <f t="shared" si="0"/>
        <v>NA</v>
      </c>
      <c r="N48" s="43" t="str">
        <f t="shared" si="15"/>
        <v>NA</v>
      </c>
    </row>
    <row r="49" spans="1:15" s="26" customFormat="1" ht="18" customHeight="1" x14ac:dyDescent="0.25">
      <c r="A49" s="44" t="str">
        <f>IF(A48&lt;'Input &amp; Output Fields'!$C$10,'Detailed Calculator'!A48+1,"NA")</f>
        <v>NA</v>
      </c>
      <c r="B49" s="45" t="str">
        <f t="shared" si="11"/>
        <v>NA</v>
      </c>
      <c r="C49" s="46" t="str">
        <f>IF(A49="NA","NA",C48*(1+'Input &amp; Output Fields'!$C$9))</f>
        <v>NA</v>
      </c>
      <c r="D49" s="35" t="str">
        <f>IF(A49="NA","NA",IF('Input &amp; Output Fields'!$C$8="Lumpsum",((B49+C49)*'Input &amp; Output Fields'!$C$11),(FV('Input &amp; Output Fields'!$C$11/12,12,-$C49/12,-$B49,1)-($B49+$C49))))</f>
        <v>NA</v>
      </c>
      <c r="E49" s="34" t="str">
        <f t="shared" si="16"/>
        <v>NA</v>
      </c>
      <c r="F49" s="36" t="str">
        <f t="shared" si="12"/>
        <v>NA</v>
      </c>
      <c r="G49" s="37" t="str">
        <f t="shared" si="13"/>
        <v>NA</v>
      </c>
      <c r="H49" s="38" t="str">
        <f t="shared" si="4"/>
        <v>NA</v>
      </c>
      <c r="I49" s="47" t="str">
        <f t="shared" si="5"/>
        <v>NA</v>
      </c>
      <c r="J49" s="48" t="str">
        <f t="shared" si="6"/>
        <v>NA</v>
      </c>
      <c r="K49" s="37" t="str">
        <f t="shared" si="7"/>
        <v>NA</v>
      </c>
      <c r="L49" s="41" t="str">
        <f t="shared" si="14"/>
        <v>NA</v>
      </c>
      <c r="M49" s="42" t="str">
        <f t="shared" si="0"/>
        <v>NA</v>
      </c>
      <c r="N49" s="43" t="str">
        <f t="shared" si="15"/>
        <v>NA</v>
      </c>
    </row>
    <row r="50" spans="1:15" s="26" customFormat="1" ht="18" customHeight="1" x14ac:dyDescent="0.25">
      <c r="A50" s="44" t="str">
        <f>IF(A49&lt;'Input &amp; Output Fields'!$C$10,'Detailed Calculator'!A49+1,"NA")</f>
        <v>NA</v>
      </c>
      <c r="B50" s="45" t="str">
        <f t="shared" si="11"/>
        <v>NA</v>
      </c>
      <c r="C50" s="46" t="str">
        <f>IF(A50="NA","NA",C49*(1+'Input &amp; Output Fields'!$C$9))</f>
        <v>NA</v>
      </c>
      <c r="D50" s="35" t="str">
        <f>IF(A50="NA","NA",IF('Input &amp; Output Fields'!$C$8="Lumpsum",((B50+C50)*'Input &amp; Output Fields'!$C$11),(FV('Input &amp; Output Fields'!$C$11/12,12,-$C50/12,-$B50,1)-($B50+$C50))))</f>
        <v>NA</v>
      </c>
      <c r="E50" s="34" t="str">
        <f t="shared" si="16"/>
        <v>NA</v>
      </c>
      <c r="F50" s="36" t="str">
        <f t="shared" si="12"/>
        <v>NA</v>
      </c>
      <c r="G50" s="37" t="str">
        <f t="shared" si="13"/>
        <v>NA</v>
      </c>
      <c r="H50" s="38" t="str">
        <f t="shared" si="4"/>
        <v>NA</v>
      </c>
      <c r="I50" s="47" t="str">
        <f t="shared" si="5"/>
        <v>NA</v>
      </c>
      <c r="J50" s="48" t="str">
        <f t="shared" si="6"/>
        <v>NA</v>
      </c>
      <c r="K50" s="37" t="str">
        <f t="shared" si="7"/>
        <v>NA</v>
      </c>
      <c r="L50" s="41" t="str">
        <f t="shared" si="14"/>
        <v>NA</v>
      </c>
      <c r="M50" s="42" t="str">
        <f t="shared" si="0"/>
        <v>NA</v>
      </c>
      <c r="N50" s="43" t="str">
        <f t="shared" si="15"/>
        <v>NA</v>
      </c>
    </row>
    <row r="51" spans="1:15" s="26" customFormat="1" ht="18" customHeight="1" x14ac:dyDescent="0.25">
      <c r="A51" s="44" t="str">
        <f>IF(A50&lt;'Input &amp; Output Fields'!$C$10,'Detailed Calculator'!A50+1,"NA")</f>
        <v>NA</v>
      </c>
      <c r="B51" s="45" t="str">
        <f t="shared" si="11"/>
        <v>NA</v>
      </c>
      <c r="C51" s="46" t="str">
        <f>IF(A51="NA","NA",C50*(1+'Input &amp; Output Fields'!$C$9))</f>
        <v>NA</v>
      </c>
      <c r="D51" s="35" t="str">
        <f>IF(A51="NA","NA",IF('Input &amp; Output Fields'!$C$8="Lumpsum",((B51+C51)*'Input &amp; Output Fields'!$C$11),(FV('Input &amp; Output Fields'!$C$11/12,12,-$C51/12,-$B51,1)-($B51+$C51))))</f>
        <v>NA</v>
      </c>
      <c r="E51" s="46" t="str">
        <f>IF(A51="NA","NA",F50*'Input &amp; Output Fields'!$C$12)</f>
        <v>NA</v>
      </c>
      <c r="F51" s="36" t="str">
        <f t="shared" si="12"/>
        <v>NA</v>
      </c>
      <c r="G51" s="37" t="str">
        <f t="shared" si="13"/>
        <v>NA</v>
      </c>
      <c r="H51" s="38" t="str">
        <f t="shared" si="4"/>
        <v>NA</v>
      </c>
      <c r="I51" s="47" t="str">
        <f t="shared" si="5"/>
        <v>NA</v>
      </c>
      <c r="J51" s="48" t="str">
        <f t="shared" si="6"/>
        <v>NA</v>
      </c>
      <c r="K51" s="37" t="str">
        <f t="shared" si="7"/>
        <v>NA</v>
      </c>
      <c r="L51" s="41" t="str">
        <f t="shared" si="14"/>
        <v>NA</v>
      </c>
      <c r="M51" s="42" t="str">
        <f t="shared" si="0"/>
        <v>NA</v>
      </c>
      <c r="N51" s="43" t="str">
        <f t="shared" si="15"/>
        <v>NA</v>
      </c>
    </row>
    <row r="52" spans="1:15" s="26" customFormat="1" ht="18" customHeight="1" x14ac:dyDescent="0.25">
      <c r="A52" s="44" t="str">
        <f>IF(A51&lt;'Input &amp; Output Fields'!$C$10,'Detailed Calculator'!A51+1,"NA")</f>
        <v>NA</v>
      </c>
      <c r="B52" s="45" t="str">
        <f t="shared" ref="B52:B54" si="17">IF(A52="NA","NA",F51)</f>
        <v>NA</v>
      </c>
      <c r="C52" s="46" t="str">
        <f>IF(A52="NA","NA",C51*(1+'Input &amp; Output Fields'!$C$9))</f>
        <v>NA</v>
      </c>
      <c r="D52" s="35" t="str">
        <f>IF(A52="NA","NA",IF('Input &amp; Output Fields'!$C$8="Lumpsum",((B52+C52)*'Input &amp; Output Fields'!$C$11),(FV('Input &amp; Output Fields'!$C$11/12,12,-$C52/12,-$B52,1)-($B52+$C52))))</f>
        <v>NA</v>
      </c>
      <c r="E52" s="34" t="str">
        <f t="shared" ref="E52:E53" si="18">IF(A52="NA","NA",0)</f>
        <v>NA</v>
      </c>
      <c r="F52" s="36" t="str">
        <f t="shared" ref="F52:F54" si="19">IF(A52="NA","NA",B52+C52+D52-E52)</f>
        <v>NA</v>
      </c>
      <c r="G52" s="37" t="str">
        <f t="shared" ref="G52:G54" si="20">IF(A52="NA","NA",F52-B52+E52)</f>
        <v>NA</v>
      </c>
      <c r="H52" s="38" t="str">
        <f t="shared" si="4"/>
        <v>NA</v>
      </c>
      <c r="I52" s="47" t="str">
        <f t="shared" si="5"/>
        <v>NA</v>
      </c>
      <c r="J52" s="48" t="str">
        <f t="shared" si="6"/>
        <v>NA</v>
      </c>
      <c r="K52" s="37" t="str">
        <f t="shared" si="7"/>
        <v>NA</v>
      </c>
      <c r="L52" s="41" t="str">
        <f t="shared" ref="L52:L54" si="21">IF(A52="NA","NA",K52/F52)</f>
        <v>NA</v>
      </c>
      <c r="M52" s="42" t="str">
        <f t="shared" ref="M52:M54" si="22">IF(A52="NA","NA",ROUND(F52*$C$60,-3))</f>
        <v>NA</v>
      </c>
      <c r="N52" s="43" t="str">
        <f t="shared" ref="N52:N54" si="23">IF(A52="NA","NA",K52/M52)</f>
        <v>NA</v>
      </c>
    </row>
    <row r="53" spans="1:15" s="26" customFormat="1" ht="18" customHeight="1" x14ac:dyDescent="0.25">
      <c r="A53" s="44" t="str">
        <f>IF(A52&lt;'Input &amp; Output Fields'!$C$10,'Detailed Calculator'!A52+1,"NA")</f>
        <v>NA</v>
      </c>
      <c r="B53" s="45" t="str">
        <f t="shared" si="17"/>
        <v>NA</v>
      </c>
      <c r="C53" s="46" t="str">
        <f>IF(A53="NA","NA",C52*(1+'Input &amp; Output Fields'!$C$9))</f>
        <v>NA</v>
      </c>
      <c r="D53" s="35" t="str">
        <f>IF(A53="NA","NA",IF('Input &amp; Output Fields'!$C$8="Lumpsum",((B53+C53)*'Input &amp; Output Fields'!$C$11),(FV('Input &amp; Output Fields'!$C$11/12,12,-$C53/12,-$B53,1)-($B53+$C53))))</f>
        <v>NA</v>
      </c>
      <c r="E53" s="34" t="str">
        <f t="shared" si="18"/>
        <v>NA</v>
      </c>
      <c r="F53" s="36" t="str">
        <f t="shared" si="19"/>
        <v>NA</v>
      </c>
      <c r="G53" s="37" t="str">
        <f t="shared" si="20"/>
        <v>NA</v>
      </c>
      <c r="H53" s="38" t="str">
        <f t="shared" si="4"/>
        <v>NA</v>
      </c>
      <c r="I53" s="47" t="str">
        <f t="shared" si="5"/>
        <v>NA</v>
      </c>
      <c r="J53" s="48" t="str">
        <f t="shared" si="6"/>
        <v>NA</v>
      </c>
      <c r="K53" s="37" t="str">
        <f t="shared" si="7"/>
        <v>NA</v>
      </c>
      <c r="L53" s="41" t="str">
        <f t="shared" si="21"/>
        <v>NA</v>
      </c>
      <c r="M53" s="42" t="str">
        <f t="shared" si="22"/>
        <v>NA</v>
      </c>
      <c r="N53" s="43" t="str">
        <f t="shared" si="23"/>
        <v>NA</v>
      </c>
    </row>
    <row r="54" spans="1:15" s="26" customFormat="1" ht="18" customHeight="1" x14ac:dyDescent="0.25">
      <c r="A54" s="44" t="str">
        <f>IF(A53&lt;'Input &amp; Output Fields'!$C$10,'Detailed Calculator'!A53+1,"NA")</f>
        <v>NA</v>
      </c>
      <c r="B54" s="45" t="str">
        <f t="shared" si="17"/>
        <v>NA</v>
      </c>
      <c r="C54" s="46" t="str">
        <f>IF(A54="NA","NA",C53*(1+'Input &amp; Output Fields'!$C$9))</f>
        <v>NA</v>
      </c>
      <c r="D54" s="35" t="str">
        <f>IF(A54="NA","NA",IF('Input &amp; Output Fields'!$C$8="Lumpsum",((B54+C54)*'Input &amp; Output Fields'!$C$11),(FV('Input &amp; Output Fields'!$C$11/12,12,-$C54/12,-$B54,1)-($B54+$C54))))</f>
        <v>NA</v>
      </c>
      <c r="E54" s="46" t="str">
        <f>IF(A54="NA","NA",F53*'Input &amp; Output Fields'!$C$12)</f>
        <v>NA</v>
      </c>
      <c r="F54" s="36" t="str">
        <f t="shared" si="19"/>
        <v>NA</v>
      </c>
      <c r="G54" s="37" t="str">
        <f t="shared" si="20"/>
        <v>NA</v>
      </c>
      <c r="H54" s="38" t="str">
        <f t="shared" si="4"/>
        <v>NA</v>
      </c>
      <c r="I54" s="47" t="str">
        <f t="shared" si="5"/>
        <v>NA</v>
      </c>
      <c r="J54" s="48" t="str">
        <f t="shared" si="6"/>
        <v>NA</v>
      </c>
      <c r="K54" s="37" t="str">
        <f t="shared" si="7"/>
        <v>NA</v>
      </c>
      <c r="L54" s="41" t="str">
        <f t="shared" si="21"/>
        <v>NA</v>
      </c>
      <c r="M54" s="42" t="str">
        <f t="shared" si="22"/>
        <v>NA</v>
      </c>
      <c r="N54" s="43" t="str">
        <f t="shared" si="23"/>
        <v>NA</v>
      </c>
    </row>
    <row r="55" spans="1:15" s="26" customFormat="1" ht="18" customHeight="1" thickBot="1" x14ac:dyDescent="0.3">
      <c r="A55" s="44" t="str">
        <f>IF(A54&lt;'Input &amp; Output Fields'!$C$10,'Detailed Calculator'!A54+1,"NA")</f>
        <v>NA</v>
      </c>
      <c r="B55" s="45" t="str">
        <f t="shared" si="11"/>
        <v>NA</v>
      </c>
      <c r="C55" s="46" t="str">
        <f>IF(A55="NA","NA",C54*(1+'Input &amp; Output Fields'!$C$9))</f>
        <v>NA</v>
      </c>
      <c r="D55" s="35" t="str">
        <f>IF(A55="NA","NA",IF('Input &amp; Output Fields'!$C$8="Lumpsum",((B55+C55)*'Input &amp; Output Fields'!$C$11),(FV('Input &amp; Output Fields'!$C$11/12,12,-$C55/12,-$B55,1)-($B55+$C55))))</f>
        <v>NA</v>
      </c>
      <c r="E55" s="34" t="str">
        <f t="shared" si="16"/>
        <v>NA</v>
      </c>
      <c r="F55" s="36" t="str">
        <f t="shared" si="12"/>
        <v>NA</v>
      </c>
      <c r="G55" s="37" t="str">
        <f t="shared" si="13"/>
        <v>NA</v>
      </c>
      <c r="H55" s="38" t="str">
        <f t="shared" si="4"/>
        <v>NA</v>
      </c>
      <c r="I55" s="47" t="str">
        <f t="shared" si="5"/>
        <v>NA</v>
      </c>
      <c r="J55" s="48" t="str">
        <f t="shared" si="6"/>
        <v>NA</v>
      </c>
      <c r="K55" s="37" t="str">
        <f t="shared" si="7"/>
        <v>NA</v>
      </c>
      <c r="L55" s="41" t="str">
        <f t="shared" si="14"/>
        <v>NA</v>
      </c>
      <c r="M55" s="42" t="str">
        <f>IF(A55="NA","NA",ROUND(F55*$C$60,-3))</f>
        <v>NA</v>
      </c>
      <c r="N55" s="43" t="str">
        <f t="shared" si="15"/>
        <v>NA</v>
      </c>
    </row>
    <row r="56" spans="1:15" s="59" customFormat="1" ht="18" customHeight="1" thickBot="1" x14ac:dyDescent="0.3">
      <c r="A56" s="49"/>
      <c r="B56" s="50">
        <f>B6</f>
        <v>1000000</v>
      </c>
      <c r="C56" s="51">
        <f>SUBTOTAL(9,C6:C55)</f>
        <v>68729999.391907275</v>
      </c>
      <c r="D56" s="52">
        <f>SUBTOTAL(9,D6:D55)</f>
        <v>133605362.26030961</v>
      </c>
      <c r="E56" s="51">
        <f>SUBTOTAL(9,E6:E55)</f>
        <v>69290029.733694121</v>
      </c>
      <c r="F56" s="52">
        <f t="shared" ref="F56" si="24">B56+C56+D56-E56</f>
        <v>134045331.91852276</v>
      </c>
      <c r="G56" s="51">
        <f>SUBTOTAL(9,G6:G55)</f>
        <v>203335361.65221685</v>
      </c>
      <c r="H56" s="53">
        <f>SUBTOTAL(9,H6:H55)</f>
        <v>2127480.7238745461</v>
      </c>
      <c r="I56" s="54">
        <f>SUBTOTAL(9,I6:I55)</f>
        <v>500000</v>
      </c>
      <c r="J56" s="55">
        <f>SUBTOTAL(9,J6:J55)</f>
        <v>3000000</v>
      </c>
      <c r="K56" s="51">
        <f>SUBTOTAL(9,K6:K55)</f>
        <v>1802900</v>
      </c>
      <c r="L56" s="56">
        <f t="shared" ref="L56" si="25">K56/F56</f>
        <v>1.3449927529709598E-2</v>
      </c>
      <c r="M56" s="57">
        <f>SUBTOTAL(9,M6:M55)</f>
        <v>9102000</v>
      </c>
      <c r="N56" s="58">
        <f t="shared" ref="N56" si="26">K56/M56</f>
        <v>0.19807734563832124</v>
      </c>
      <c r="O56" s="74">
        <f>M56/F56</f>
        <v>6.7902401894401665E-2</v>
      </c>
    </row>
    <row r="57" spans="1:15" s="65" customFormat="1" ht="18" customHeight="1" x14ac:dyDescent="0.25">
      <c r="A57" s="60"/>
      <c r="B57" s="60"/>
      <c r="C57" s="60"/>
      <c r="D57" s="60"/>
      <c r="E57" s="60"/>
      <c r="F57" s="61"/>
      <c r="G57" s="60"/>
      <c r="H57" s="60"/>
      <c r="I57" s="60"/>
      <c r="J57" s="60"/>
      <c r="K57" s="61"/>
      <c r="L57" s="62" t="s">
        <v>36</v>
      </c>
      <c r="M57" s="63">
        <f>M56-K56</f>
        <v>7299100</v>
      </c>
      <c r="N57" s="64">
        <f>M57/M56</f>
        <v>0.80192265436167876</v>
      </c>
    </row>
    <row r="58" spans="1:15" s="25" customFormat="1" ht="18.600000000000001" customHeight="1" x14ac:dyDescent="0.25">
      <c r="A58" s="66" t="s">
        <v>48</v>
      </c>
      <c r="B58" s="24"/>
      <c r="C58" s="24"/>
      <c r="D58" s="24"/>
      <c r="E58" s="24"/>
      <c r="F58" s="24"/>
      <c r="G58" s="24"/>
      <c r="H58" s="24"/>
      <c r="I58" s="24"/>
      <c r="J58" s="24"/>
      <c r="K58" s="67"/>
      <c r="L58" s="24"/>
      <c r="O58" s="26"/>
    </row>
    <row r="59" spans="1:15" ht="18" customHeight="1" x14ac:dyDescent="0.25">
      <c r="A59" s="10">
        <v>1</v>
      </c>
      <c r="B59" s="10" t="s">
        <v>10</v>
      </c>
      <c r="C59" s="73">
        <v>0.02</v>
      </c>
      <c r="D59" s="94" t="s">
        <v>9</v>
      </c>
      <c r="E59" s="89"/>
      <c r="F59" s="89"/>
      <c r="G59" s="89"/>
      <c r="H59" s="89"/>
      <c r="I59" s="89"/>
      <c r="J59" s="89"/>
      <c r="K59" s="89"/>
      <c r="L59" s="89"/>
      <c r="M59" s="89"/>
      <c r="N59" s="90"/>
      <c r="O59" s="76">
        <v>25000</v>
      </c>
    </row>
    <row r="60" spans="1:15" ht="18" customHeight="1" x14ac:dyDescent="0.25">
      <c r="A60" s="10">
        <f>A59+1</f>
        <v>2</v>
      </c>
      <c r="B60" s="10" t="s">
        <v>8</v>
      </c>
      <c r="C60" s="73">
        <v>0.01</v>
      </c>
      <c r="D60" s="94" t="s">
        <v>7</v>
      </c>
      <c r="E60" s="89"/>
      <c r="F60" s="89"/>
      <c r="G60" s="89"/>
      <c r="H60" s="89"/>
      <c r="I60" s="89"/>
      <c r="J60" s="89"/>
      <c r="K60" s="89"/>
      <c r="L60" s="89"/>
      <c r="M60" s="89"/>
      <c r="N60" s="90"/>
      <c r="O60" s="76">
        <v>150000</v>
      </c>
    </row>
    <row r="61" spans="1:15" ht="36" customHeight="1" x14ac:dyDescent="0.25">
      <c r="A61" s="10">
        <f>A60+1</f>
        <v>3</v>
      </c>
      <c r="B61" s="10" t="s">
        <v>6</v>
      </c>
      <c r="C61" s="68" t="s">
        <v>5</v>
      </c>
      <c r="D61" s="91" t="s">
        <v>46</v>
      </c>
      <c r="E61" s="95"/>
      <c r="F61" s="95"/>
      <c r="G61" s="95"/>
      <c r="H61" s="95"/>
      <c r="I61" s="95"/>
      <c r="J61" s="95"/>
      <c r="K61" s="95"/>
      <c r="L61" s="95"/>
      <c r="M61" s="95"/>
      <c r="N61" s="96"/>
    </row>
    <row r="62" spans="1:15" ht="37.9" customHeight="1" x14ac:dyDescent="0.25">
      <c r="A62" s="10">
        <f>A61+1</f>
        <v>4</v>
      </c>
      <c r="B62" s="10" t="s">
        <v>4</v>
      </c>
      <c r="C62" s="68" t="s">
        <v>1</v>
      </c>
      <c r="D62" s="91" t="s">
        <v>3</v>
      </c>
      <c r="E62" s="92"/>
      <c r="F62" s="92"/>
      <c r="G62" s="92"/>
      <c r="H62" s="92"/>
      <c r="I62" s="92"/>
      <c r="J62" s="92"/>
      <c r="K62" s="92"/>
      <c r="L62" s="92"/>
      <c r="M62" s="92"/>
      <c r="N62" s="93"/>
    </row>
    <row r="63" spans="1:15" ht="37.9" customHeight="1" x14ac:dyDescent="0.25">
      <c r="A63" s="10">
        <f>A62+1</f>
        <v>5</v>
      </c>
      <c r="B63" s="69" t="s">
        <v>2</v>
      </c>
      <c r="C63" s="68" t="s">
        <v>1</v>
      </c>
      <c r="D63" s="88" t="s">
        <v>0</v>
      </c>
      <c r="E63" s="89"/>
      <c r="F63" s="89"/>
      <c r="G63" s="89"/>
      <c r="H63" s="89"/>
      <c r="I63" s="89"/>
      <c r="J63" s="89"/>
      <c r="K63" s="89"/>
      <c r="L63" s="89"/>
      <c r="M63" s="89"/>
      <c r="N63" s="90"/>
    </row>
  </sheetData>
  <sheetProtection algorithmName="SHA-512" hashValue="5SKm4Jykovel0LJLV0ZRKrKljhtCTO+nRhrnPq5uKJwOMFDFVqeBXR6mv+ccqhQoCkFtDU/1gsjvaTFw2f4Txg==" saltValue="ebtGTIPfASomxSBJA0ziZQ==" spinCount="100000" sheet="1" objects="1" scenarios="1"/>
  <mergeCells count="12">
    <mergeCell ref="D63:N63"/>
    <mergeCell ref="D62:N62"/>
    <mergeCell ref="D59:N59"/>
    <mergeCell ref="D60:N60"/>
    <mergeCell ref="D61:N61"/>
    <mergeCell ref="A1:N1"/>
    <mergeCell ref="A2:N2"/>
    <mergeCell ref="A4:A5"/>
    <mergeCell ref="B4:G4"/>
    <mergeCell ref="H4:L4"/>
    <mergeCell ref="M4:M5"/>
    <mergeCell ref="N4:N5"/>
  </mergeCells>
  <hyperlinks>
    <hyperlink ref="D59" r:id="rId1" display="Assumed@2% on Net Incremetal AUA" xr:uid="{382C7E32-BB41-4949-83B8-D345C9BA43AE}"/>
    <hyperlink ref="D60" r:id="rId2" display="Assumed@2% on Net Incremetal AUA" xr:uid="{96D42CC6-ECDD-4714-BF40-49977BF84703}"/>
  </hyperlinks>
  <pageMargins left="0.70866141732283472" right="0.70866141732283472" top="0.74803149606299213" bottom="0.74803149606299213" header="0.31496062992125984" footer="0.31496062992125984"/>
  <pageSetup paperSize="9" scale="60" orientation="landscape" r:id="rId3"/>
  <headerFooter>
    <oddFooter xml:space="preserve">&amp;L&amp;"Georgia,Bold"&amp;A
&amp;C&amp;"Georgia,Bold"&amp;F
&amp;R&amp;"Georgia,Bold"Page &amp;P of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73832-D3EB-42FF-89BF-72589A77FC34}">
  <dimension ref="A1:D51"/>
  <sheetViews>
    <sheetView workbookViewId="0">
      <pane xSplit="1" ySplit="1" topLeftCell="B2" activePane="bottomRight" state="frozen"/>
      <selection activeCell="L5" sqref="L5"/>
      <selection pane="topRight" activeCell="L5" sqref="L5"/>
      <selection pane="bottomLeft" activeCell="L5" sqref="L5"/>
      <selection pane="bottomRight" activeCell="B1" sqref="B1"/>
    </sheetView>
  </sheetViews>
  <sheetFormatPr defaultColWidth="8.85546875" defaultRowHeight="15" customHeight="1" x14ac:dyDescent="0.25"/>
  <cols>
    <col min="1" max="4" width="12.7109375" style="23" customWidth="1"/>
    <col min="5" max="16384" width="8.85546875" style="23"/>
  </cols>
  <sheetData>
    <row r="1" spans="1:4" s="20" customFormat="1" ht="30" customHeight="1" x14ac:dyDescent="0.25">
      <c r="A1" s="19" t="s">
        <v>47</v>
      </c>
      <c r="B1" s="19" t="s">
        <v>56</v>
      </c>
      <c r="C1" s="19" t="s">
        <v>55</v>
      </c>
      <c r="D1" s="19" t="s">
        <v>58</v>
      </c>
    </row>
    <row r="2" spans="1:4" ht="15" customHeight="1" x14ac:dyDescent="0.25">
      <c r="A2" s="21">
        <v>1</v>
      </c>
      <c r="B2" s="22">
        <v>0.06</v>
      </c>
      <c r="C2" s="22">
        <v>0.01</v>
      </c>
      <c r="D2" s="22">
        <f t="shared" ref="D2:D7" si="0">B2+C2*A2</f>
        <v>6.9999999999999993E-2</v>
      </c>
    </row>
    <row r="3" spans="1:4" ht="15" customHeight="1" x14ac:dyDescent="0.25">
      <c r="A3" s="21">
        <f>A2+1</f>
        <v>2</v>
      </c>
      <c r="B3" s="22">
        <f t="shared" ref="B3:C7" si="1">B2</f>
        <v>0.06</v>
      </c>
      <c r="C3" s="22">
        <f t="shared" si="1"/>
        <v>0.01</v>
      </c>
      <c r="D3" s="22">
        <f t="shared" si="0"/>
        <v>0.08</v>
      </c>
    </row>
    <row r="4" spans="1:4" ht="15" customHeight="1" x14ac:dyDescent="0.25">
      <c r="A4" s="21">
        <f t="shared" ref="A4:A50" si="2">A3+1</f>
        <v>3</v>
      </c>
      <c r="B4" s="22">
        <f t="shared" si="1"/>
        <v>0.06</v>
      </c>
      <c r="C4" s="22">
        <f t="shared" si="1"/>
        <v>0.01</v>
      </c>
      <c r="D4" s="22">
        <f t="shared" si="0"/>
        <v>0.09</v>
      </c>
    </row>
    <row r="5" spans="1:4" ht="15" customHeight="1" x14ac:dyDescent="0.25">
      <c r="A5" s="21">
        <f t="shared" si="2"/>
        <v>4</v>
      </c>
      <c r="B5" s="22">
        <f t="shared" si="1"/>
        <v>0.06</v>
      </c>
      <c r="C5" s="22">
        <f t="shared" si="1"/>
        <v>0.01</v>
      </c>
      <c r="D5" s="22">
        <f t="shared" si="0"/>
        <v>0.1</v>
      </c>
    </row>
    <row r="6" spans="1:4" ht="15" customHeight="1" x14ac:dyDescent="0.25">
      <c r="A6" s="21">
        <f t="shared" si="2"/>
        <v>5</v>
      </c>
      <c r="B6" s="22">
        <f t="shared" si="1"/>
        <v>0.06</v>
      </c>
      <c r="C6" s="22">
        <f t="shared" si="1"/>
        <v>0.01</v>
      </c>
      <c r="D6" s="22">
        <f t="shared" si="0"/>
        <v>0.11</v>
      </c>
    </row>
    <row r="7" spans="1:4" ht="15" customHeight="1" x14ac:dyDescent="0.25">
      <c r="A7" s="21">
        <f t="shared" si="2"/>
        <v>6</v>
      </c>
      <c r="B7" s="22">
        <f t="shared" si="1"/>
        <v>0.06</v>
      </c>
      <c r="C7" s="22">
        <f t="shared" si="1"/>
        <v>0.01</v>
      </c>
      <c r="D7" s="22">
        <f t="shared" si="0"/>
        <v>0.12</v>
      </c>
    </row>
    <row r="8" spans="1:4" ht="15" customHeight="1" x14ac:dyDescent="0.25">
      <c r="A8" s="21">
        <f t="shared" si="2"/>
        <v>7</v>
      </c>
      <c r="B8" s="22">
        <f>D7</f>
        <v>0.12</v>
      </c>
      <c r="C8" s="22">
        <f>C2/2</f>
        <v>5.0000000000000001E-3</v>
      </c>
      <c r="D8" s="22">
        <f>B8+C8*(A8-$A$7)</f>
        <v>0.125</v>
      </c>
    </row>
    <row r="9" spans="1:4" ht="15" customHeight="1" x14ac:dyDescent="0.25">
      <c r="A9" s="21">
        <f t="shared" si="2"/>
        <v>8</v>
      </c>
      <c r="B9" s="22">
        <f t="shared" ref="B9:C13" si="3">B8</f>
        <v>0.12</v>
      </c>
      <c r="C9" s="22">
        <f t="shared" si="3"/>
        <v>5.0000000000000001E-3</v>
      </c>
      <c r="D9" s="22">
        <f t="shared" ref="D9:D13" si="4">B9+C9*(A9-$A$7)</f>
        <v>0.13</v>
      </c>
    </row>
    <row r="10" spans="1:4" ht="15" customHeight="1" x14ac:dyDescent="0.25">
      <c r="A10" s="21">
        <f t="shared" si="2"/>
        <v>9</v>
      </c>
      <c r="B10" s="22">
        <f t="shared" si="3"/>
        <v>0.12</v>
      </c>
      <c r="C10" s="22">
        <f t="shared" si="3"/>
        <v>5.0000000000000001E-3</v>
      </c>
      <c r="D10" s="22">
        <f t="shared" si="4"/>
        <v>0.13500000000000001</v>
      </c>
    </row>
    <row r="11" spans="1:4" ht="15" customHeight="1" x14ac:dyDescent="0.25">
      <c r="A11" s="21">
        <f t="shared" si="2"/>
        <v>10</v>
      </c>
      <c r="B11" s="22">
        <f t="shared" si="3"/>
        <v>0.12</v>
      </c>
      <c r="C11" s="22">
        <f t="shared" si="3"/>
        <v>5.0000000000000001E-3</v>
      </c>
      <c r="D11" s="22">
        <f t="shared" si="4"/>
        <v>0.13999999999999999</v>
      </c>
    </row>
    <row r="12" spans="1:4" ht="15" customHeight="1" x14ac:dyDescent="0.25">
      <c r="A12" s="21">
        <f t="shared" si="2"/>
        <v>11</v>
      </c>
      <c r="B12" s="22">
        <f t="shared" si="3"/>
        <v>0.12</v>
      </c>
      <c r="C12" s="22">
        <f t="shared" si="3"/>
        <v>5.0000000000000001E-3</v>
      </c>
      <c r="D12" s="22">
        <f t="shared" si="4"/>
        <v>0.14499999999999999</v>
      </c>
    </row>
    <row r="13" spans="1:4" ht="15" customHeight="1" x14ac:dyDescent="0.25">
      <c r="A13" s="21">
        <f t="shared" si="2"/>
        <v>12</v>
      </c>
      <c r="B13" s="22">
        <f t="shared" si="3"/>
        <v>0.12</v>
      </c>
      <c r="C13" s="22">
        <f t="shared" si="3"/>
        <v>5.0000000000000001E-3</v>
      </c>
      <c r="D13" s="22">
        <f t="shared" si="4"/>
        <v>0.15</v>
      </c>
    </row>
    <row r="14" spans="1:4" ht="15" customHeight="1" x14ac:dyDescent="0.25">
      <c r="A14" s="21">
        <f t="shared" si="2"/>
        <v>13</v>
      </c>
      <c r="B14" s="22">
        <f>D13</f>
        <v>0.15</v>
      </c>
      <c r="C14" s="22">
        <f>C8/2</f>
        <v>2.5000000000000001E-3</v>
      </c>
      <c r="D14" s="22">
        <f>B14+C14*(A14-$A$13)</f>
        <v>0.1525</v>
      </c>
    </row>
    <row r="15" spans="1:4" ht="15" customHeight="1" x14ac:dyDescent="0.25">
      <c r="A15" s="21">
        <f t="shared" si="2"/>
        <v>14</v>
      </c>
      <c r="B15" s="22">
        <f t="shared" ref="B15:B25" si="5">B14</f>
        <v>0.15</v>
      </c>
      <c r="C15" s="22">
        <f t="shared" ref="C15:C25" si="6">C14</f>
        <v>2.5000000000000001E-3</v>
      </c>
      <c r="D15" s="22">
        <f t="shared" ref="D15:D25" si="7">B15+C15*(A15-$A$13)</f>
        <v>0.155</v>
      </c>
    </row>
    <row r="16" spans="1:4" ht="15" customHeight="1" x14ac:dyDescent="0.25">
      <c r="A16" s="21">
        <f t="shared" si="2"/>
        <v>15</v>
      </c>
      <c r="B16" s="22">
        <f t="shared" si="5"/>
        <v>0.15</v>
      </c>
      <c r="C16" s="22">
        <f t="shared" si="6"/>
        <v>2.5000000000000001E-3</v>
      </c>
      <c r="D16" s="22">
        <f t="shared" si="7"/>
        <v>0.1575</v>
      </c>
    </row>
    <row r="17" spans="1:4" ht="15" customHeight="1" x14ac:dyDescent="0.25">
      <c r="A17" s="21">
        <f t="shared" si="2"/>
        <v>16</v>
      </c>
      <c r="B17" s="22">
        <f t="shared" si="5"/>
        <v>0.15</v>
      </c>
      <c r="C17" s="22">
        <f t="shared" si="6"/>
        <v>2.5000000000000001E-3</v>
      </c>
      <c r="D17" s="22">
        <f t="shared" si="7"/>
        <v>0.16</v>
      </c>
    </row>
    <row r="18" spans="1:4" ht="15" customHeight="1" x14ac:dyDescent="0.25">
      <c r="A18" s="21">
        <f t="shared" si="2"/>
        <v>17</v>
      </c>
      <c r="B18" s="22">
        <f t="shared" si="5"/>
        <v>0.15</v>
      </c>
      <c r="C18" s="22">
        <f t="shared" si="6"/>
        <v>2.5000000000000001E-3</v>
      </c>
      <c r="D18" s="22">
        <f t="shared" si="7"/>
        <v>0.16250000000000001</v>
      </c>
    </row>
    <row r="19" spans="1:4" ht="15" customHeight="1" x14ac:dyDescent="0.25">
      <c r="A19" s="21">
        <f t="shared" si="2"/>
        <v>18</v>
      </c>
      <c r="B19" s="22">
        <f t="shared" si="5"/>
        <v>0.15</v>
      </c>
      <c r="C19" s="22">
        <f t="shared" si="6"/>
        <v>2.5000000000000001E-3</v>
      </c>
      <c r="D19" s="22">
        <f t="shared" si="7"/>
        <v>0.16499999999999998</v>
      </c>
    </row>
    <row r="20" spans="1:4" ht="15" customHeight="1" x14ac:dyDescent="0.25">
      <c r="A20" s="21">
        <f t="shared" si="2"/>
        <v>19</v>
      </c>
      <c r="B20" s="22">
        <f t="shared" si="5"/>
        <v>0.15</v>
      </c>
      <c r="C20" s="22">
        <f t="shared" si="6"/>
        <v>2.5000000000000001E-3</v>
      </c>
      <c r="D20" s="22">
        <f t="shared" si="7"/>
        <v>0.16749999999999998</v>
      </c>
    </row>
    <row r="21" spans="1:4" ht="15" customHeight="1" x14ac:dyDescent="0.25">
      <c r="A21" s="21">
        <f t="shared" si="2"/>
        <v>20</v>
      </c>
      <c r="B21" s="22">
        <f t="shared" si="5"/>
        <v>0.15</v>
      </c>
      <c r="C21" s="22">
        <f t="shared" si="6"/>
        <v>2.5000000000000001E-3</v>
      </c>
      <c r="D21" s="22">
        <f t="shared" si="7"/>
        <v>0.16999999999999998</v>
      </c>
    </row>
    <row r="22" spans="1:4" ht="15" customHeight="1" x14ac:dyDescent="0.25">
      <c r="A22" s="21">
        <f t="shared" si="2"/>
        <v>21</v>
      </c>
      <c r="B22" s="22">
        <f t="shared" si="5"/>
        <v>0.15</v>
      </c>
      <c r="C22" s="22">
        <f t="shared" si="6"/>
        <v>2.5000000000000001E-3</v>
      </c>
      <c r="D22" s="22">
        <f t="shared" si="7"/>
        <v>0.17249999999999999</v>
      </c>
    </row>
    <row r="23" spans="1:4" ht="15" customHeight="1" x14ac:dyDescent="0.25">
      <c r="A23" s="21">
        <f t="shared" si="2"/>
        <v>22</v>
      </c>
      <c r="B23" s="22">
        <f t="shared" si="5"/>
        <v>0.15</v>
      </c>
      <c r="C23" s="22">
        <f t="shared" si="6"/>
        <v>2.5000000000000001E-3</v>
      </c>
      <c r="D23" s="22">
        <f t="shared" si="7"/>
        <v>0.17499999999999999</v>
      </c>
    </row>
    <row r="24" spans="1:4" ht="15" customHeight="1" x14ac:dyDescent="0.25">
      <c r="A24" s="21">
        <f t="shared" si="2"/>
        <v>23</v>
      </c>
      <c r="B24" s="22">
        <f t="shared" si="5"/>
        <v>0.15</v>
      </c>
      <c r="C24" s="22">
        <f t="shared" si="6"/>
        <v>2.5000000000000001E-3</v>
      </c>
      <c r="D24" s="22">
        <f t="shared" si="7"/>
        <v>0.17749999999999999</v>
      </c>
    </row>
    <row r="25" spans="1:4" ht="15" customHeight="1" x14ac:dyDescent="0.25">
      <c r="A25" s="21">
        <f t="shared" si="2"/>
        <v>24</v>
      </c>
      <c r="B25" s="22">
        <f t="shared" si="5"/>
        <v>0.15</v>
      </c>
      <c r="C25" s="22">
        <f t="shared" si="6"/>
        <v>2.5000000000000001E-3</v>
      </c>
      <c r="D25" s="22">
        <f t="shared" si="7"/>
        <v>0.18</v>
      </c>
    </row>
    <row r="26" spans="1:4" ht="15" customHeight="1" x14ac:dyDescent="0.25">
      <c r="A26" s="21">
        <f t="shared" si="2"/>
        <v>25</v>
      </c>
      <c r="B26" s="22">
        <f>D25</f>
        <v>0.18</v>
      </c>
      <c r="C26" s="22">
        <f>C14/2</f>
        <v>1.25E-3</v>
      </c>
      <c r="D26" s="22">
        <f>B26+C26*(A26-$A$25)</f>
        <v>0.18124999999999999</v>
      </c>
    </row>
    <row r="27" spans="1:4" ht="15" customHeight="1" x14ac:dyDescent="0.25">
      <c r="A27" s="21">
        <f t="shared" si="2"/>
        <v>26</v>
      </c>
      <c r="B27" s="22">
        <f t="shared" ref="B27:B37" si="8">B26</f>
        <v>0.18</v>
      </c>
      <c r="C27" s="22">
        <f t="shared" ref="C27:C37" si="9">C26</f>
        <v>1.25E-3</v>
      </c>
      <c r="D27" s="22">
        <f t="shared" ref="D27:D37" si="10">B27+C27*(A27-$A$25)</f>
        <v>0.1825</v>
      </c>
    </row>
    <row r="28" spans="1:4" ht="15" customHeight="1" x14ac:dyDescent="0.25">
      <c r="A28" s="21">
        <f t="shared" si="2"/>
        <v>27</v>
      </c>
      <c r="B28" s="22">
        <f t="shared" si="8"/>
        <v>0.18</v>
      </c>
      <c r="C28" s="22">
        <f t="shared" si="9"/>
        <v>1.25E-3</v>
      </c>
      <c r="D28" s="22">
        <f t="shared" si="10"/>
        <v>0.18375</v>
      </c>
    </row>
    <row r="29" spans="1:4" ht="15" customHeight="1" x14ac:dyDescent="0.25">
      <c r="A29" s="21">
        <f t="shared" si="2"/>
        <v>28</v>
      </c>
      <c r="B29" s="22">
        <f t="shared" si="8"/>
        <v>0.18</v>
      </c>
      <c r="C29" s="22">
        <f t="shared" si="9"/>
        <v>1.25E-3</v>
      </c>
      <c r="D29" s="22">
        <f t="shared" si="10"/>
        <v>0.185</v>
      </c>
    </row>
    <row r="30" spans="1:4" ht="15" customHeight="1" x14ac:dyDescent="0.25">
      <c r="A30" s="21">
        <f t="shared" si="2"/>
        <v>29</v>
      </c>
      <c r="B30" s="22">
        <f t="shared" si="8"/>
        <v>0.18</v>
      </c>
      <c r="C30" s="22">
        <f t="shared" si="9"/>
        <v>1.25E-3</v>
      </c>
      <c r="D30" s="22">
        <f t="shared" si="10"/>
        <v>0.18625</v>
      </c>
    </row>
    <row r="31" spans="1:4" ht="15" customHeight="1" x14ac:dyDescent="0.25">
      <c r="A31" s="21">
        <f t="shared" si="2"/>
        <v>30</v>
      </c>
      <c r="B31" s="22">
        <f t="shared" si="8"/>
        <v>0.18</v>
      </c>
      <c r="C31" s="22">
        <f t="shared" si="9"/>
        <v>1.25E-3</v>
      </c>
      <c r="D31" s="22">
        <f t="shared" si="10"/>
        <v>0.1875</v>
      </c>
    </row>
    <row r="32" spans="1:4" ht="15" customHeight="1" x14ac:dyDescent="0.25">
      <c r="A32" s="21">
        <f t="shared" si="2"/>
        <v>31</v>
      </c>
      <c r="B32" s="22">
        <f t="shared" si="8"/>
        <v>0.18</v>
      </c>
      <c r="C32" s="22">
        <f t="shared" si="9"/>
        <v>1.25E-3</v>
      </c>
      <c r="D32" s="22">
        <f t="shared" si="10"/>
        <v>0.18875</v>
      </c>
    </row>
    <row r="33" spans="1:4" ht="15" customHeight="1" x14ac:dyDescent="0.25">
      <c r="A33" s="21">
        <f t="shared" si="2"/>
        <v>32</v>
      </c>
      <c r="B33" s="22">
        <f t="shared" si="8"/>
        <v>0.18</v>
      </c>
      <c r="C33" s="22">
        <f t="shared" si="9"/>
        <v>1.25E-3</v>
      </c>
      <c r="D33" s="22">
        <f t="shared" si="10"/>
        <v>0.19</v>
      </c>
    </row>
    <row r="34" spans="1:4" ht="15" customHeight="1" x14ac:dyDescent="0.25">
      <c r="A34" s="21">
        <f t="shared" si="2"/>
        <v>33</v>
      </c>
      <c r="B34" s="22">
        <f t="shared" si="8"/>
        <v>0.18</v>
      </c>
      <c r="C34" s="22">
        <f t="shared" si="9"/>
        <v>1.25E-3</v>
      </c>
      <c r="D34" s="22">
        <f t="shared" si="10"/>
        <v>0.19125</v>
      </c>
    </row>
    <row r="35" spans="1:4" ht="15" customHeight="1" x14ac:dyDescent="0.25">
      <c r="A35" s="21">
        <f t="shared" si="2"/>
        <v>34</v>
      </c>
      <c r="B35" s="22">
        <f t="shared" si="8"/>
        <v>0.18</v>
      </c>
      <c r="C35" s="22">
        <f t="shared" si="9"/>
        <v>1.25E-3</v>
      </c>
      <c r="D35" s="22">
        <f t="shared" si="10"/>
        <v>0.1925</v>
      </c>
    </row>
    <row r="36" spans="1:4" ht="15" customHeight="1" x14ac:dyDescent="0.25">
      <c r="A36" s="21">
        <f t="shared" si="2"/>
        <v>35</v>
      </c>
      <c r="B36" s="22">
        <f t="shared" si="8"/>
        <v>0.18</v>
      </c>
      <c r="C36" s="22">
        <f t="shared" si="9"/>
        <v>1.25E-3</v>
      </c>
      <c r="D36" s="22">
        <f t="shared" si="10"/>
        <v>0.19375000000000001</v>
      </c>
    </row>
    <row r="37" spans="1:4" ht="15" customHeight="1" x14ac:dyDescent="0.25">
      <c r="A37" s="21">
        <f t="shared" si="2"/>
        <v>36</v>
      </c>
      <c r="B37" s="22">
        <f t="shared" si="8"/>
        <v>0.18</v>
      </c>
      <c r="C37" s="22">
        <f t="shared" si="9"/>
        <v>1.25E-3</v>
      </c>
      <c r="D37" s="22">
        <f t="shared" si="10"/>
        <v>0.19500000000000001</v>
      </c>
    </row>
    <row r="38" spans="1:4" ht="15" customHeight="1" x14ac:dyDescent="0.25">
      <c r="A38" s="21">
        <f t="shared" si="2"/>
        <v>37</v>
      </c>
      <c r="B38" s="22">
        <f>D37</f>
        <v>0.19500000000000001</v>
      </c>
      <c r="C38" s="22">
        <f>C26/2</f>
        <v>6.2500000000000001E-4</v>
      </c>
      <c r="D38" s="22">
        <f>B38+C38*(A38-$A$37)</f>
        <v>0.19562499999999999</v>
      </c>
    </row>
    <row r="39" spans="1:4" ht="15" customHeight="1" x14ac:dyDescent="0.25">
      <c r="A39" s="21">
        <f t="shared" si="2"/>
        <v>38</v>
      </c>
      <c r="B39" s="22">
        <f t="shared" ref="B39:B49" si="11">B38</f>
        <v>0.19500000000000001</v>
      </c>
      <c r="C39" s="22">
        <f t="shared" ref="C39:C49" si="12">C38</f>
        <v>6.2500000000000001E-4</v>
      </c>
      <c r="D39" s="22">
        <f t="shared" ref="D39:D49" si="13">B39+C39*(A39-$A$37)</f>
        <v>0.19625000000000001</v>
      </c>
    </row>
    <row r="40" spans="1:4" ht="15" customHeight="1" x14ac:dyDescent="0.25">
      <c r="A40" s="21">
        <f t="shared" si="2"/>
        <v>39</v>
      </c>
      <c r="B40" s="22">
        <f t="shared" si="11"/>
        <v>0.19500000000000001</v>
      </c>
      <c r="C40" s="22">
        <f t="shared" si="12"/>
        <v>6.2500000000000001E-4</v>
      </c>
      <c r="D40" s="22">
        <f t="shared" si="13"/>
        <v>0.19687499999999999</v>
      </c>
    </row>
    <row r="41" spans="1:4" ht="15" customHeight="1" x14ac:dyDescent="0.25">
      <c r="A41" s="21">
        <f t="shared" si="2"/>
        <v>40</v>
      </c>
      <c r="B41" s="22">
        <f t="shared" si="11"/>
        <v>0.19500000000000001</v>
      </c>
      <c r="C41" s="22">
        <f t="shared" si="12"/>
        <v>6.2500000000000001E-4</v>
      </c>
      <c r="D41" s="22">
        <f t="shared" si="13"/>
        <v>0.19750000000000001</v>
      </c>
    </row>
    <row r="42" spans="1:4" ht="15" customHeight="1" x14ac:dyDescent="0.25">
      <c r="A42" s="21">
        <f t="shared" si="2"/>
        <v>41</v>
      </c>
      <c r="B42" s="22">
        <f t="shared" si="11"/>
        <v>0.19500000000000001</v>
      </c>
      <c r="C42" s="22">
        <f t="shared" si="12"/>
        <v>6.2500000000000001E-4</v>
      </c>
      <c r="D42" s="22">
        <f t="shared" si="13"/>
        <v>0.198125</v>
      </c>
    </row>
    <row r="43" spans="1:4" ht="15" customHeight="1" x14ac:dyDescent="0.25">
      <c r="A43" s="21">
        <f t="shared" si="2"/>
        <v>42</v>
      </c>
      <c r="B43" s="22">
        <f t="shared" si="11"/>
        <v>0.19500000000000001</v>
      </c>
      <c r="C43" s="22">
        <f t="shared" si="12"/>
        <v>6.2500000000000001E-4</v>
      </c>
      <c r="D43" s="22">
        <f t="shared" si="13"/>
        <v>0.19875000000000001</v>
      </c>
    </row>
    <row r="44" spans="1:4" ht="15" customHeight="1" x14ac:dyDescent="0.25">
      <c r="A44" s="21">
        <f t="shared" si="2"/>
        <v>43</v>
      </c>
      <c r="B44" s="22">
        <f t="shared" si="11"/>
        <v>0.19500000000000001</v>
      </c>
      <c r="C44" s="22">
        <f t="shared" si="12"/>
        <v>6.2500000000000001E-4</v>
      </c>
      <c r="D44" s="22">
        <f t="shared" si="13"/>
        <v>0.199375</v>
      </c>
    </row>
    <row r="45" spans="1:4" ht="15" customHeight="1" x14ac:dyDescent="0.25">
      <c r="A45" s="21">
        <f t="shared" si="2"/>
        <v>44</v>
      </c>
      <c r="B45" s="22">
        <f t="shared" si="11"/>
        <v>0.19500000000000001</v>
      </c>
      <c r="C45" s="22">
        <f t="shared" si="12"/>
        <v>6.2500000000000001E-4</v>
      </c>
      <c r="D45" s="22">
        <f t="shared" si="13"/>
        <v>0.2</v>
      </c>
    </row>
    <row r="46" spans="1:4" ht="15" customHeight="1" x14ac:dyDescent="0.25">
      <c r="A46" s="21">
        <f t="shared" si="2"/>
        <v>45</v>
      </c>
      <c r="B46" s="22">
        <f t="shared" si="11"/>
        <v>0.19500000000000001</v>
      </c>
      <c r="C46" s="22">
        <f t="shared" si="12"/>
        <v>6.2500000000000001E-4</v>
      </c>
      <c r="D46" s="22">
        <f t="shared" si="13"/>
        <v>0.200625</v>
      </c>
    </row>
    <row r="47" spans="1:4" ht="15" customHeight="1" x14ac:dyDescent="0.25">
      <c r="A47" s="21">
        <f t="shared" si="2"/>
        <v>46</v>
      </c>
      <c r="B47" s="22">
        <f t="shared" si="11"/>
        <v>0.19500000000000001</v>
      </c>
      <c r="C47" s="22">
        <f t="shared" si="12"/>
        <v>6.2500000000000001E-4</v>
      </c>
      <c r="D47" s="22">
        <f t="shared" si="13"/>
        <v>0.20125000000000001</v>
      </c>
    </row>
    <row r="48" spans="1:4" ht="15" customHeight="1" x14ac:dyDescent="0.25">
      <c r="A48" s="21">
        <f t="shared" si="2"/>
        <v>47</v>
      </c>
      <c r="B48" s="22">
        <f t="shared" si="11"/>
        <v>0.19500000000000001</v>
      </c>
      <c r="C48" s="22">
        <f t="shared" si="12"/>
        <v>6.2500000000000001E-4</v>
      </c>
      <c r="D48" s="22">
        <f t="shared" si="13"/>
        <v>0.201875</v>
      </c>
    </row>
    <row r="49" spans="1:4" ht="15" customHeight="1" x14ac:dyDescent="0.25">
      <c r="A49" s="21">
        <f t="shared" si="2"/>
        <v>48</v>
      </c>
      <c r="B49" s="22">
        <f t="shared" si="11"/>
        <v>0.19500000000000001</v>
      </c>
      <c r="C49" s="22">
        <f t="shared" si="12"/>
        <v>6.2500000000000001E-4</v>
      </c>
      <c r="D49" s="22">
        <f t="shared" si="13"/>
        <v>0.20250000000000001</v>
      </c>
    </row>
    <row r="50" spans="1:4" ht="15" customHeight="1" x14ac:dyDescent="0.25">
      <c r="A50" s="21">
        <f t="shared" si="2"/>
        <v>49</v>
      </c>
      <c r="B50" s="22">
        <f>D49</f>
        <v>0.20250000000000001</v>
      </c>
      <c r="C50" s="22">
        <f>C38/2</f>
        <v>3.1250000000000001E-4</v>
      </c>
      <c r="D50" s="22">
        <f>B50+C50*(A50-$A$49)</f>
        <v>0.20281250000000001</v>
      </c>
    </row>
    <row r="51" spans="1:4" ht="15" customHeight="1" x14ac:dyDescent="0.25">
      <c r="A51" s="21">
        <f t="shared" ref="A51" si="14">A50+1</f>
        <v>50</v>
      </c>
      <c r="B51" s="22">
        <f>B50</f>
        <v>0.20250000000000001</v>
      </c>
      <c r="C51" s="22">
        <f>C50</f>
        <v>3.1250000000000001E-4</v>
      </c>
      <c r="D51" s="22">
        <f>B51+C51*(A51-$A$49)</f>
        <v>0.203125</v>
      </c>
    </row>
  </sheetData>
  <sheetProtection algorithmName="SHA-512" hashValue="OYh5GNnNPyulUxxrJq8APKj+rIVwD6HudNFpP+j1EnthMwRdLWJueMdoLC9mjleopG2eYzxkHl21G7h6+ihBkw==" saltValue="kaji4+6+A9nrryKRGFeKN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Input &amp; Output Fields</vt:lpstr>
      <vt:lpstr>Detailed Calculator</vt:lpstr>
      <vt:lpstr>Indicative XIRR Chart</vt:lpstr>
      <vt:lpstr>'Detailed Calculator'!Print_Area</vt:lpstr>
      <vt:lpstr>'Input &amp; Output Fields'!Print_Area</vt:lpstr>
      <vt:lpstr>'Detailed Calculator'!Print_Titles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Mohnish Saini</dc:creator>
  <cp:lastModifiedBy>Mohnish Saini</cp:lastModifiedBy>
  <cp:lastPrinted>2025-07-23T04:21:01Z</cp:lastPrinted>
  <dcterms:created xsi:type="dcterms:W3CDTF">2025-04-11T02:28:13Z</dcterms:created>
  <dcterms:modified xsi:type="dcterms:W3CDTF">2025-11-04T12:53:55Z</dcterms:modified>
</cp:coreProperties>
</file>